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URCIA\"/>
    </mc:Choice>
  </mc:AlternateContent>
  <workbookProtection workbookAlgorithmName="SHA-512" workbookHashValue="oEYweqClIw2Mf1xhGAl+IZD17qJa52UGfjjng/BCaimsVUfWyoovCrXeJw2lPFJtfHnO44kntNqQUL25oubxrQ==" workbookSaltValue="JNYGlX2C7d+Mgoijd7YD3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R20" i="8" l="1"/>
  <c r="B13" i="2"/>
  <c r="BF15" i="13"/>
  <c r="BG17" i="13"/>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G20" i="7" l="1"/>
  <c r="K12" i="12"/>
  <c r="E20" i="17"/>
  <c r="BF13" i="8"/>
  <c r="BE13" i="8"/>
  <c r="K10" i="12"/>
  <c r="BL21"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<sst xmlns="http://schemas.openxmlformats.org/spreadsheetml/2006/main" count="2527" uniqueCount="1027">
  <si>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</si>
  <si>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</si>
  <si>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</si>
  <si>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</si>
  <si>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</si>
  <si>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</si>
  <si>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</si>
  <si>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</si>
  <si>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</si>
  <si>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</si>
  <si>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</si>
  <si>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</si>
  <si>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</si>
  <si>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</si>
  <si>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</si>
  <si>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</si>
  <si>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</si>
  <si>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</si>
  <si>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</si>
  <si>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</si>
  <si>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</si>
  <si>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</si>
  <si>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</si>
  <si>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</si>
  <si>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</si>
  <si>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</si>
  <si>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</si>
  <si>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</si>
  <si>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</si>
  <si>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</si>
  <si>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</si>
  <si>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</si>
  <si>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</si>
  <si>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</si>
  <si>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</si>
  <si>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</si>
  <si>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</si>
  <si>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</si>
  <si>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</si>
  <si>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</si>
  <si>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</si>
  <si>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</si>
  <si>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</si>
  <si>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</si>
  <si>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</si>
  <si>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</si>
  <si>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</si>
  <si>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</si>
  <si>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</si>
  <si>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</si>
  <si>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</si>
  <si>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</si>
  <si>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</si>
  <si>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</si>
  <si>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</si>
  <si>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</si>
  <si>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</si>
  <si>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</si>
  <si>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</si>
  <si>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</si>
  <si>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</si>
  <si>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</si>
  <si>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</si>
  <si>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</si>
  <si>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</si>
  <si>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</si>
  <si>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</si>
  <si>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</si>
  <si>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</si>
  <si>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</si>
  <si>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</si>
  <si>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</si>
  <si>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</si>
  <si>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</si>
  <si>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</si>
  <si>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</si>
  <si>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</si>
  <si>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</si>
  <si>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</si>
  <si>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</si>
  <si>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</si>
  <si>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</si>
  <si>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</si>
  <si>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</si>
  <si>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</si>
  <si>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</si>
  <si>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</si>
  <si>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</si>
  <si>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</si>
  <si>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</si>
  <si>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</si>
  <si>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</si>
  <si>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</si>
  <si>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</si>
  <si>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</si>
  <si>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</si>
  <si>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</si>
  <si>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</si>
  <si>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</si>
  <si>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</si>
  <si>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</si>
  <si>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</si>
  <si>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</si>
  <si>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</si>
  <si>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</si>
  <si>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</si>
  <si>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</si>
  <si>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</si>
  <si>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</si>
  <si>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</si>
  <si>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</si>
  <si>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</si>
  <si>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</si>
  <si>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</si>
  <si>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</si>
  <si>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</si>
  <si>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</si>
  <si>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</si>
  <si>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</si>
  <si>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</si>
  <si>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</si>
  <si>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</si>
  <si>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</si>
  <si>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</si>
  <si>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</si>
  <si>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</si>
  <si>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</si>
  <si>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</si>
  <si>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</si>
  <si>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</si>
  <si>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</si>
  <si>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</si>
  <si>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</si>
  <si>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</si>
  <si>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</si>
  <si>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</si>
  <si>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</si>
  <si>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</si>
  <si>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</si>
  <si>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</si>
  <si>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</si>
  <si>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</si>
  <si>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</si>
  <si>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</si>
  <si>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</si>
  <si>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</si>
  <si>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</si>
  <si>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</si>
  <si>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</si>
  <si>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</si>
  <si>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</si>
  <si>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</si>
  <si>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</si>
  <si>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</si>
  <si>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</si>
  <si>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</si>
  <si>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</si>
  <si>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</si>
  <si>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</si>
  <si>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</si>
  <si>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</si>
  <si>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</si>
  <si>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</si>
  <si>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</si>
  <si>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</si>
  <si>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</si>
  <si>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</si>
  <si>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</si>
  <si>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</si>
  <si>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</si>
  <si>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</si>
  <si>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</si>
  <si>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</si>
  <si>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</si>
  <si>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</si>
  <si>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</si>
  <si>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</si>
  <si>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</si>
  <si>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</si>
  <si>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</si>
  <si>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</si>
  <si>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</si>
  <si>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</si>
  <si>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</si>
  <si>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</si>
  <si>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</si>
  <si>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</si>
  <si>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</si>
  <si>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</si>
  <si>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</si>
  <si>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</si>
  <si>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</si>
  <si>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</si>
  <si>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</si>
  <si>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</si>
  <si>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</si>
  <si>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</si>
  <si>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</si>
  <si>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</si>
  <si>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</si>
  <si>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</si>
  <si>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</si>
  <si>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</si>
  <si>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</si>
  <si>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</si>
  <si>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</si>
  <si>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</si>
  <si>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</si>
  <si>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</si>
  <si>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</si>
  <si>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</si>
  <si>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</si>
  <si>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</si>
  <si>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</si>
  <si>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</si>
  <si>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</si>
  <si>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</si>
  <si>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</si>
  <si>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</si>
  <si>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</si>
  <si>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</si>
  <si>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</si>
  <si>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</si>
  <si>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</si>
  <si>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</si>
  <si>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</si>
  <si>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</si>
  <si>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</si>
  <si>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</si>
  <si>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</si>
  <si>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</si>
  <si>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</si>
  <si>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</si>
  <si>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</si>
  <si>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</si>
  <si>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</si>
  <si>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</si>
  <si>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</si>
  <si>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</si>
  <si>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</si>
  <si>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</si>
  <si>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</si>
  <si>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</si>
  <si>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</si>
  <si>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</si>
  <si>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</si>
  <si>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</si>
  <si>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</si>
  <si>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</si>
  <si>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</si>
  <si>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</si>
  <si>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</si>
  <si>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</si>
  <si>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</si>
  <si>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</si>
  <si>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</si>
  <si>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</si>
  <si>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</si>
  <si>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</si>
  <si>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</si>
  <si>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</si>
  <si>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</si>
  <si>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</si>
  <si>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</si>
  <si>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</si>
  <si>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</si>
  <si>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</si>
  <si>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</si>
  <si>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</si>
  <si>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</si>
  <si>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</si>
  <si>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</si>
  <si>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</si>
  <si>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</si>
  <si>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</si>
  <si>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</si>
  <si>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</si>
  <si>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</si>
  <si>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</si>
  <si>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</si>
  <si>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</si>
  <si>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</si>
  <si>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</si>
  <si>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</si>
  <si>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</si>
  <si>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</si>
  <si>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</si>
  <si>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</si>
  <si>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</si>
  <si>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</si>
  <si>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</si>
  <si>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</si>
  <si>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</si>
  <si>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</si>
  <si>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</si>
  <si>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</si>
  <si>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</si>
  <si>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</si>
  <si>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</si>
  <si>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</si>
  <si>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</si>
  <si>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</si>
  <si>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</si>
  <si>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</si>
  <si>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</si>
  <si>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</si>
  <si>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</si>
  <si>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</si>
  <si>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</si>
  <si>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</si>
  <si>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</si>
  <si>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</si>
  <si>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</si>
  <si>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</si>
  <si>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</si>
  <si>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</si>
  <si>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</si>
  <si>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</si>
  <si>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</si>
  <si>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</si>
  <si>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</si>
  <si>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</si>
  <si>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</si>
  <si>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</si>
  <si>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</si>
  <si>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</si>
  <si>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</si>
  <si>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</si>
  <si>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</si>
  <si>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</si>
  <si>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</si>
  <si>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</si>
  <si>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</si>
  <si>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</si>
  <si>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</si>
  <si>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</si>
  <si>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</si>
  <si>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</si>
  <si>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</si>
  <si>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</si>
  <si>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</si>
  <si>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</si>
  <si>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</si>
  <si>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</si>
  <si>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</si>
  <si>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</si>
  <si>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</si>
  <si>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</si>
  <si>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</si>
  <si>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</si>
  <si>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</si>
  <si>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</si>
  <si>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</si>
  <si>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</si>
  <si>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</si>
  <si>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</si>
  <si>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</si>
  <si>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</si>
  <si>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</si>
  <si>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</si>
  <si>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</si>
  <si>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</si>
  <si>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</si>
  <si>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</si>
  <si>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</si>
  <si>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</si>
  <si>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</si>
  <si>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</si>
  <si>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</si>
  <si>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</si>
  <si>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</si>
  <si>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</si>
  <si>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</si>
  <si>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</si>
  <si>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</si>
  <si>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</si>
  <si>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</si>
  <si>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</si>
  <si>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</si>
  <si>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</si>
  <si>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</si>
  <si>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</si>
  <si>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</si>
  <si>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</si>
  <si>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</si>
  <si>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</si>
  <si>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</si>
  <si>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</si>
  <si>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</si>
  <si>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</si>
  <si>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</si>
  <si>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</si>
  <si>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</si>
  <si>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</si>
  <si>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</si>
  <si>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</si>
  <si>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</si>
  <si>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</si>
  <si>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</si>
  <si>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</si>
  <si>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</si>
  <si>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</si>
  <si>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</si>
  <si>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</si>
  <si>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</si>
  <si>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</si>
  <si>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</si>
  <si>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</si>
  <si>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</si>
  <si>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</si>
  <si>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</si>
  <si>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</si>
  <si>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</si>
  <si>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</si>
  <si>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</si>
  <si>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</si>
  <si>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</si>
  <si>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</si>
  <si>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</si>
  <si>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</si>
  <si>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</si>
  <si>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</si>
  <si>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</si>
  <si>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</si>
  <si>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</si>
  <si>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</si>
  <si>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</si>
  <si>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</si>
  <si>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</si>
  <si>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</si>
  <si>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</si>
  <si>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</si>
  <si>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</si>
  <si>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</si>
  <si>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</si>
  <si>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</si>
  <si>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</si>
  <si>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</si>
  <si>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</si>
  <si>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</si>
  <si>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</si>
  <si>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</si>
  <si>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</si>
  <si>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</si>
  <si>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</si>
  <si>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</si>
  <si>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</si>
  <si>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</si>
  <si>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</si>
  <si>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</si>
  <si>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</si>
  <si>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</si>
  <si>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</si>
  <si>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</si>
  <si>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</si>
  <si>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</si>
  <si>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</si>
  <si>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</si>
  <si>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</si>
  <si>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</si>
  <si>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</si>
  <si>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</si>
  <si>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</si>
  <si>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</si>
  <si>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</si>
  <si>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</si>
  <si>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</si>
  <si>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</si>
  <si>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</si>
  <si>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</si>
  <si>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</si>
  <si>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</si>
  <si>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</si>
  <si>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</si>
  <si>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</si>
  <si>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</si>
  <si>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</si>
  <si>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</si>
  <si>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</si>
  <si>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</si>
  <si>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</si>
  <si>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</si>
  <si>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</si>
  <si>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</si>
  <si>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</si>
  <si>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</si>
  <si>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</si>
  <si>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</si>
  <si>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</si>
  <si>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</si>
  <si>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</si>
  <si>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</si>
  <si>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</si>
  <si>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</si>
  <si>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</si>
  <si>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</si>
  <si>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</si>
  <si>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</si>
  <si>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</si>
  <si>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</si>
  <si>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</si>
  <si>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</si>
  <si>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</si>
  <si>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</si>
  <si>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</si>
  <si>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</si>
  <si>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</si>
  <si>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</si>
  <si>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</si>
  <si>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</si>
  <si>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</si>
  <si>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</si>
  <si>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</si>
  <si>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</si>
  <si>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</si>
  <si>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</si>
  <si>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</si>
  <si>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</si>
  <si>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</si>
  <si>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</si>
  <si>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</si>
  <si>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</si>
  <si>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</si>
  <si>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</si>
  <si>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</si>
  <si>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</si>
  <si>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</si>
  <si>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</si>
  <si>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</si>
  <si>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</si>
  <si>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</si>
  <si>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</si>
  <si>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</si>
  <si>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</si>
  <si>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</si>
  <si>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</si>
  <si>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</si>
  <si>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</si>
  <si>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</si>
  <si>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</si>
  <si>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</si>
  <si>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</si>
  <si>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</si>
  <si>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</si>
  <si>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</si>
  <si>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</si>
  <si>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</si>
  <si>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</si>
  <si>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</si>
  <si>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</si>
  <si>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</si>
  <si>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</si>
  <si>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</si>
  <si>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</si>
  <si>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</si>
  <si>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</si>
  <si>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</si>
  <si>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</si>
  <si>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</si>
  <si>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</si>
  <si>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</si>
  <si>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</si>
  <si>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</si>
  <si>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</si>
  <si>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</si>
  <si>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</si>
  <si>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</si>
  <si>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</si>
  <si>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</si>
  <si>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</si>
  <si>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</si>
  <si>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</si>
  <si>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</si>
  <si>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</si>
  <si>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</si>
  <si>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</si>
  <si>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</si>
  <si>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</si>
  <si>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</si>
  <si>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</si>
  <si>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</si>
  <si>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</si>
  <si>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</si>
  <si>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</si>
  <si>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</si>
  <si>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</si>
  <si>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</si>
  <si>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</si>
  <si>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</si>
  <si>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</si>
  <si>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</si>
  <si>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</si>
  <si>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</si>
  <si>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</si>
  <si>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</si>
  <si>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</si>
  <si>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</si>
  <si>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</si>
  <si>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</si>
  <si>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</si>
  <si>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</si>
  <si>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</si>
  <si>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</si>
  <si>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</si>
  <si>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</si>
  <si>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</si>
  <si>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</si>
  <si>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</si>
  <si>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</si>
  <si>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</si>
  <si>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</si>
  <si>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</si>
  <si>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</si>
  <si>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</si>
  <si>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</si>
  <si>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</si>
  <si>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</si>
  <si>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</si>
  <si>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</si>
  <si>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</si>
  <si>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</si>
  <si>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</si>
  <si>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</si>
  <si>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</si>
  <si>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</si>
  <si>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</si>
  <si>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</si>
  <si>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</si>
  <si>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</si>
  <si>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</si>
  <si>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</si>
  <si>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</si>
  <si>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</si>
  <si>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</si>
  <si>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</si>
  <si>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</si>
  <si>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</si>
  <si>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</si>
  <si>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</si>
  <si>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</si>
  <si>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</si>
  <si>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</si>
  <si>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</si>
  <si>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</si>
  <si>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</si>
  <si>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</si>
  <si>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</si>
  <si>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</si>
  <si>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</si>
  <si>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</si>
  <si>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</si>
  <si>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</si>
  <si>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</si>
  <si>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</si>
  <si>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</si>
  <si>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</si>
  <si>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</si>
  <si>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</si>
  <si>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</si>
  <si>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</si>
  <si>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</si>
  <si>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</si>
  <si>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</si>
  <si>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</si>
  <si>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</si>
  <si>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</si>
  <si>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</si>
  <si>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</si>
  <si>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</si>
  <si>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</si>
  <si>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</si>
  <si>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</si>
  <si>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</si>
  <si>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</si>
  <si>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</si>
  <si>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</si>
  <si>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</si>
  <si>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</si>
  <si>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</si>
  <si>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</si>
  <si>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</si>
  <si>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</si>
  <si>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</si>
  <si>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</si>
  <si>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</si>
  <si>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</si>
  <si>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</si>
  <si>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</si>
  <si>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</si>
  <si>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</si>
  <si>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</si>
  <si>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</si>
  <si>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</si>
  <si>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</si>
  <si>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</si>
  <si>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</si>
  <si>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</si>
  <si>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</si>
  <si>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</si>
  <si>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</si>
  <si>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</si>
  <si>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</si>
  <si>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</si>
  <si>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</si>
  <si>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</si>
  <si>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</si>
  <si>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</si>
  <si>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</si>
  <si>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</si>
  <si>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</si>
  <si>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</si>
  <si>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</si>
  <si>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</si>
  <si>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</si>
  <si>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</si>
  <si>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</si>
  <si>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</si>
  <si>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</si>
  <si>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</si>
  <si>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</si>
  <si>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</si>
  <si>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</si>
  <si>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</si>
  <si>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</si>
  <si>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</si>
  <si>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</si>
  <si>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</si>
  <si>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</si>
  <si>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</si>
  <si>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</si>
  <si>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</si>
  <si>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</si>
  <si>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</si>
  <si>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</si>
  <si>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</si>
  <si>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</si>
  <si>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</si>
  <si>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</si>
  <si>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</si>
  <si>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</si>
  <si>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</si>
  <si>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</si>
  <si>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</si>
  <si>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</si>
  <si>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</si>
  <si>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</si>
  <si>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</si>
  <si>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</si>
  <si>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</si>
  <si>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</si>
  <si>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</si>
  <si>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</si>
  <si>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</si>
  <si>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</si>
  <si>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</si>
  <si>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</si>
  <si>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</si>
  <si>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</si>
  <si>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</si>
  <si>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</si>
  <si>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</si>
  <si>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</si>
  <si>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</si>
  <si>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</si>
  <si>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</si>
  <si>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</si>
  <si>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</si>
  <si>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</si>
  <si>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</si>
  <si>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</si>
  <si>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</si>
  <si>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</si>
  <si>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</si>
  <si>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</si>
  <si>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</si>
  <si>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</si>
  <si>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</si>
  <si>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</si>
  <si>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</si>
  <si>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</si>
  <si>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</si>
  <si>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</si>
  <si>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</si>
  <si>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</si>
  <si>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</si>
  <si>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</si>
  <si>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</si>
  <si>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</si>
  <si>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</si>
  <si>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</si>
  <si>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</si>
  <si>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</si>
  <si>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</si>
  <si>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</si>
  <si>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</si>
  <si>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</si>
  <si>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</si>
  <si>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</si>
  <si>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</si>
  <si>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</si>
  <si>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</si>
  <si>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</si>
  <si>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</si>
  <si>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</si>
  <si>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</si>
  <si>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</si>
  <si>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</si>
  <si>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</si>
  <si>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</si>
  <si>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</si>
  <si>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</si>
  <si>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</si>
  <si>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</si>
  <si>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</si>
  <si>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</si>
  <si>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</si>
  <si>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</si>
  <si>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</si>
  <si>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</si>
  <si>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</si>
  <si>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</si>
  <si>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</si>
  <si>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</si>
  <si>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</si>
  <si>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</si>
  <si>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</si>
  <si>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</si>
  <si>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</si>
  <si>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</si>
  <si>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</si>
  <si>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</si>
  <si>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</si>
  <si>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</si>
  <si>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</si>
  <si>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</si>
  <si>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</si>
  <si>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</si>
  <si>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</si>
  <si>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</si>
  <si>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</si>
  <si>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</si>
  <si>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</si>
  <si>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</si>
  <si>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</si>
  <si>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</si>
  <si>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</si>
  <si>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</si>
  <si>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</si>
  <si>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</si>
  <si>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</si>
  <si>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</si>
  <si>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</si>
  <si>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</si>
  <si>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</si>
  <si>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</si>
  <si>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</si>
  <si>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</si>
  <si>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</si>
  <si>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</si>
  <si>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</si>
  <si>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</si>
  <si>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</si>
  <si>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</si>
  <si>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</si>
  <si>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</si>
  <si>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</si>
  <si>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</si>
  <si>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</si>
  <si>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</si>
  <si>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</si>
  <si>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</si>
  <si>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</si>
  <si>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</si>
  <si>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</si>
  <si>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</si>
  <si>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</si>
  <si>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</si>
  <si>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</si>
  <si>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</si>
  <si>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</si>
  <si>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</si>
  <si>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</si>
  <si>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</si>
  <si>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</si>
  <si>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</si>
  <si>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</si>
  <si>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</si>
  <si>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</si>
  <si>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</si>
  <si>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</si>
  <si>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</si>
  <si>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</si>
  <si>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</si>
  <si>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</si>
  <si>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</si>
  <si>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</si>
  <si>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</si>
  <si>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</si>
  <si>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</si>
  <si>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</si>
  <si>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</si>
  <si>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</si>
  <si>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</si>
  <si>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</si>
  <si>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</si>
  <si>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</si>
  <si>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</si>
  <si>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</si>
  <si>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</si>
  <si>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</si>
  <si>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</si>
  <si>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</si>
  <si>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</si>
  <si>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</si>
  <si>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</si>
  <si>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</si>
  <si>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</si>
  <si>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</si>
  <si>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</si>
  <si>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</si>
  <si>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</si>
  <si>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</si>
  <si>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</si>
  <si>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</si>
  <si>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</si>
  <si>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</si>
  <si>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</si>
  <si>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</si>
  <si>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</si>
  <si>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</si>
  <si>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</si>
  <si>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</si>
  <si>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</si>
  <si>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</si>
  <si>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</si>
  <si>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</si>
  <si>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</si>
  <si>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</si>
  <si>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</si>
  <si>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</si>
  <si>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</si>
  <si>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</si>
  <si>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</si>
  <si>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</si>
  <si>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</si>
  <si>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</si>
  <si>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</si>
  <si>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</si>
  <si>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</si>
  <si>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</si>
  <si>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</si>
  <si>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</si>
  <si>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</si>
  <si>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</si>
  <si>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</si>
  <si>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</si>
  <si>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</si>
  <si>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</si>
  <si>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</si>
  <si>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</si>
  <si>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</si>
  <si>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</si>
  <si>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</si>
  <si>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</si>
  <si>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</si>
  <si>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</si>
  <si>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</si>
  <si>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</si>
  <si>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</si>
  <si>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</si>
  <si>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</si>
  <si>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</si>
  <si>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</si>
  <si>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</si>
  <si>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</si>
  <si>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</si>
  <si>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</si>
  <si>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</si>
  <si>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</si>
  <si>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</si>
  <si>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</si>
  <si>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</si>
  <si>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</si>
  <si>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</si>
  <si>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</si>
  <si>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</si>
  <si>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</si>
  <si>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</si>
  <si>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</si>
  <si>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</si>
  <si>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</si>
  <si>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</si>
  <si>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</si>
  <si>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</si>
  <si>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</si>
  <si>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</si>
  <si>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</si>
  <si>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</si>
  <si>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</si>
  <si>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</si>
  <si>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</si>
  <si>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</si>
  <si>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</si>
  <si>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</si>
  <si>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</si>
  <si>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</si>
  <si>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</si>
  <si>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</si>
  <si>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</si>
  <si>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</si>
  <si>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</si>
  <si>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</si>
  <si>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</si>
  <si>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</si>
  <si>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</si>
  <si>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</si>
  <si>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</si>
  <si>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</si>
  <si>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</si>
  <si>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</si>
  <si>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</si>
  <si>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</si>
  <si>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REGION DE MURCIA</t>
  </si>
  <si>
    <t>Provincias</t>
  </si>
  <si>
    <t>MURCIA</t>
  </si>
  <si>
    <t>Resumenes por Partidos Judiciales</t>
  </si>
  <si>
    <t>YECLA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</si>
</sst>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sojE+xhO2r3Lu0SlvHaYkBMTGMKWFvH4D0gxBunMEUn9+WbZkBwkzZTa2VwWVqMdmyWGRByE19Qrsekdox//ew==" saltValue="Pz45TeW/e2axXqDneMATy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REGION DE MURCIA</v>
      </c>
      <c r="C2" s="374"/>
      <c r="D2" s="374"/>
      <c r="E2" s="374"/>
      <c r="F2" s="374"/>
    </row>
    <row r="3" spans="1:69" ht="19.5">
      <c r="A3" s="389" t="s">
        <v>115</v>
      </c>
      <c r="B3" s="390" t="str">
        <f>Criterios!A10 &amp;"  "&amp;Criterios!B10</f>
        <v>Provincias  MURCIA</v>
      </c>
      <c r="D3" s="374"/>
      <c r="E3" s="374"/>
      <c r="F3" s="374"/>
      <c r="BQ3" s="470"/>
    </row>
    <row r="4" spans="1:69" ht="13.5" thickBot="1">
      <c r="A4" s="374"/>
      <c r="B4" s="390" t="str">
        <f>Criterios!A11 &amp;"  "&amp;Criterios!B11</f>
        <v>Resumenes por Partidos Judiciales  YECLA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26</v>
      </c>
      <c r="D10" s="403">
        <f>IF(ISNUMBER(C10/Datos!BH10),C10/Datos!BH10," - ")</f>
        <v>26</v>
      </c>
      <c r="E10" s="402">
        <f>IF(ISNUMBER(Datos!J10),Datos!J10," - ")</f>
        <v>7</v>
      </c>
      <c r="F10" s="403">
        <f>IF(ISNUMBER(E10/B10),E10/B10," - ")</f>
        <v>7</v>
      </c>
      <c r="G10" s="402">
        <f>IF(ISNUMBER(Datos!K10),Datos!K10," - ")</f>
        <v>6</v>
      </c>
      <c r="H10" s="403">
        <f>IF(ISNUMBER(G10/B10),G10/B10," - ")</f>
        <v>6</v>
      </c>
      <c r="I10" s="402">
        <f>IF(ISNUMBER(Datos!L10),Datos!L10," - ")</f>
        <v>27</v>
      </c>
      <c r="J10" s="403">
        <f>IF(ISNUMBER(I10/B10),I10/B10," - ")</f>
        <v>27</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1814</v>
      </c>
      <c r="D12" s="403">
        <f>IF(ISNUMBER(C12/Datos!BH12),C12/Datos!BH12," - ")</f>
        <v>907</v>
      </c>
      <c r="E12" s="402">
        <f>IF(ISNUMBER(IF(J_V="SI",Datos!J12,Datos!J12+Datos!Z12)),IF(J_V="SI",Datos!J12,Datos!J12+Datos!Z12)," - ")</f>
        <v>184</v>
      </c>
      <c r="F12" s="403">
        <f>IF(ISNUMBER(E12/B12),E12/B12," - ")</f>
        <v>92</v>
      </c>
      <c r="G12" s="402">
        <f>IF(ISNUMBER(IF(J_V="SI",Datos!K12,Datos!K12+Datos!AA12)),IF(J_V="SI",Datos!K12,Datos!K12+Datos!AA12)," - ")</f>
        <v>179</v>
      </c>
      <c r="H12" s="403">
        <f>IF(ISNUMBER(G12/B12),G12/B12," - ")</f>
        <v>89.5</v>
      </c>
      <c r="I12" s="402">
        <f>IF(ISNUMBER(IF(J_V="SI",Datos!L12,Datos!L12+Datos!AB12)),IF(J_V="SI",Datos!L12,Datos!L12+Datos!AB12)," - ")</f>
        <v>1828</v>
      </c>
      <c r="J12" s="403">
        <f>IF(ISNUMBER(I12/B12),I12/B12," - ")</f>
        <v>914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1840</v>
      </c>
      <c r="D13" s="847" t="str">
        <f>IF(ISNUMBER(C13/Datos!BI13),C13/Datos!BI13," - ")</f>
        <v xml:space="preserve"> - </v>
      </c>
      <c r="E13" s="846">
        <f>SUBTOTAL(9,E8:E12)</f>
        <v>191</v>
      </c>
      <c r="F13" s="847">
        <f>IF(ISNUMBER(E13/B13),E13/B13," - ")</f>
        <v>95.5</v>
      </c>
      <c r="G13" s="846">
        <f>SUBTOTAL(9,G8:G12)</f>
        <v>185</v>
      </c>
      <c r="H13" s="847">
        <f>IF(ISNUMBER(G13/B13),G13/B13," - ")</f>
        <v>92.5</v>
      </c>
      <c r="I13" s="846">
        <f>SUBTOTAL(9,I8:I12)</f>
        <v>1855</v>
      </c>
      <c r="J13" s="847">
        <f>IF(ISNUMBER(I13/B13),I13/B13," - ")</f>
        <v>927.5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681</v>
      </c>
      <c r="D17" s="403">
        <f>IF(ISNUMBER(C17/Datos!BH17),C17/Datos!BH17," - ")</f>
        <v>340.5</v>
      </c>
      <c r="E17" s="402">
        <f>IF(ISNUMBER(IF(D_I="SI",Datos!J17,Datos!J17+Datos!AD17)),IF(D_I="SI",Datos!J17,Datos!J17+Datos!AD17)," - ")</f>
        <v>559</v>
      </c>
      <c r="F17" s="403">
        <f>IF(ISNUMBER(E17/B17),E17/B17," - ")</f>
        <v>279.5</v>
      </c>
      <c r="G17" s="402">
        <f>IF(ISNUMBER(IF(D_I="SI",Datos!K17,Datos!K17+Datos!AE17)),IF(D_I="SI",Datos!K17,Datos!K17+Datos!AE17)," - ")</f>
        <v>438</v>
      </c>
      <c r="H17" s="403">
        <f>IF(ISNUMBER(G17/B17),G17/B17," - ")</f>
        <v>219</v>
      </c>
      <c r="I17" s="402">
        <f>IF(ISNUMBER(IF(D_I="SI",Datos!L17,Datos!L17+Datos!AF17)),IF(D_I="SI",Datos!L17,Datos!L17+Datos!AF17)," - ")</f>
        <v>808</v>
      </c>
      <c r="J17" s="403">
        <f>IF(ISNUMBER(I17/B17),I17/B17," - ")</f>
        <v>404</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60</v>
      </c>
      <c r="D18" s="403">
        <f>IF(ISNUMBER(C18/Datos!BH18),C18/Datos!BH18," - ")</f>
        <v>60</v>
      </c>
      <c r="E18" s="402">
        <f>IF(ISNUMBER(IF(D_I="SI",Datos!J18,Datos!J18+Datos!AD18)),IF(D_I="SI",Datos!J18,Datos!J18+Datos!AD18)," - ")</f>
        <v>56</v>
      </c>
      <c r="F18" s="403">
        <f>IF(ISNUMBER(E18/B18),E18/B18," - ")</f>
        <v>56</v>
      </c>
      <c r="G18" s="402">
        <f>IF(ISNUMBER(IF(D_I="SI",Datos!K18,Datos!K18+Datos!AE18)),IF(D_I="SI",Datos!K18,Datos!K18+Datos!AE18)," - ")</f>
        <v>42</v>
      </c>
      <c r="H18" s="403">
        <f>IF(ISNUMBER(G18/B18),G18/B18," - ")</f>
        <v>42</v>
      </c>
      <c r="I18" s="402">
        <f>IF(ISNUMBER(IF(D_I="SI",Datos!L18,Datos!L18+Datos!AF18)),IF(D_I="SI",Datos!L18,Datos!L18+Datos!AF18)," - ")</f>
        <v>75</v>
      </c>
      <c r="J18" s="403">
        <f>IF(ISNUMBER(I18/B18),I18/B18," - ")</f>
        <v>75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741</v>
      </c>
      <c r="D19" s="847" t="str">
        <f>IF(ISNUMBER(C19/Datos!BI19),C19/Datos!BI19," - ")</f>
        <v xml:space="preserve"> - </v>
      </c>
      <c r="E19" s="846">
        <f>SUBTOTAL(9,E14:E18)</f>
        <v>615</v>
      </c>
      <c r="F19" s="847">
        <f>IF(ISNUMBER(E19/B19),E19/B19," - ")</f>
        <v>307.5</v>
      </c>
      <c r="G19" s="846">
        <f>SUBTOTAL(9,G14:G18)</f>
        <v>480</v>
      </c>
      <c r="H19" s="847">
        <f>IF(ISNUMBER(G19/B19),G19/B19," - ")</f>
        <v>240</v>
      </c>
      <c r="I19" s="846">
        <f>SUBTOTAL(9,I14:I18)</f>
        <v>883</v>
      </c>
      <c r="J19" s="847">
        <f>IF(ISNUMBER(I19/B19),I19/B19," - ")</f>
        <v>441.5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2581</v>
      </c>
      <c r="D20" s="792" t="str">
        <f>IF(ISNUMBER(C20/Datos!BI20),C20/Datos!BI20," - ")</f>
        <v xml:space="preserve"> - </v>
      </c>
      <c r="E20" s="791">
        <f>SUBTOTAL(9,E9:E19)</f>
        <v>806</v>
      </c>
      <c r="F20" s="792">
        <f>IF(ISNUMBER(E20/B20),E20/B20," - ")</f>
        <v>403</v>
      </c>
      <c r="G20" s="791">
        <f>SUBTOTAL(9,G9:G19)</f>
        <v>665</v>
      </c>
      <c r="H20" s="792">
        <f>IF(ISNUMBER(G20/B20),G20/B20," - ")</f>
        <v>332.5</v>
      </c>
      <c r="I20" s="791">
        <f>SUBTOTAL(9,I9:I19)</f>
        <v>2738</v>
      </c>
      <c r="J20" s="792">
        <f>IF(ISNUMBER(I20/B20),I20/B20," - ")</f>
        <v>1369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d+5G8ymuzLoc0l7hDamEVTJ6aBD3+X+8spIxOiiGjH9Q2HWAz7fhettiF8FUAu7z3j8T+cFJBYm2F/zeTtarrg==" saltValue="EIKqKC8Zi0XwVNIoQW2xu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REGION DE MURCIA</v>
      </c>
      <c r="C2" s="374"/>
      <c r="E2" s="374"/>
      <c r="F2" s="374"/>
      <c r="G2" s="374"/>
      <c r="H2" s="374"/>
    </row>
    <row r="3" spans="1:15" ht="39">
      <c r="A3" s="414" t="s">
        <v>219</v>
      </c>
      <c r="B3" s="390" t="str">
        <f>Criterios!A10 &amp;"  "&amp;Criterios!B10</f>
        <v>Provincias  MURCIA</v>
      </c>
      <c r="C3" s="414"/>
      <c r="F3" s="374"/>
      <c r="G3" s="374"/>
      <c r="H3" s="374"/>
    </row>
    <row r="4" spans="1:15" ht="13.5" thickBot="1">
      <c r="A4" s="374"/>
      <c r="B4" s="390" t="str">
        <f>Criterios!A11 &amp;"  "&amp;Criterios!B11</f>
        <v>Resumenes por Partidos Judiciales  YECLA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jKcP7QDEZoq6Q0yJp/B7kHADSEno++maFAMQRaOwgAuNgSsI2Xcx/F6s8lIrplf3spT69pLMMleiBz3X9p06mA==" saltValue="uSEmqNBXtD3wEMkwBZtPF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REGION DE MURCIA</v>
      </c>
      <c r="C2" s="390"/>
    </row>
    <row r="3" spans="1:78" ht="19.5">
      <c r="A3" s="424" t="s">
        <v>11</v>
      </c>
      <c r="B3" s="390" t="str">
        <f>Criterios!A10 &amp;"  "&amp;Criterios!B10</f>
        <v>Provincias  MURCIA</v>
      </c>
      <c r="C3" s="390"/>
      <c r="D3" s="424"/>
      <c r="BZ3" s="470"/>
    </row>
    <row r="4" spans="1:78" ht="13.5" thickBot="1">
      <c r="B4" s="390" t="str">
        <f>Criterios!A11 &amp;"  "&amp;Criterios!B11</f>
        <v>Resumenes por Partidos Judiciales  YECLA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3</v>
      </c>
      <c r="E10" s="403">
        <f>IF(ISNUMBER(D10/B10),D10/B10," - ")</f>
        <v>3</v>
      </c>
      <c r="F10" s="402">
        <f>IF(ISNUMBER(Datos!N10),Datos!N10," - ")</f>
        <v>2</v>
      </c>
      <c r="G10" s="403">
        <f>IF(ISNUMBER(F10/B10),F10/B10," - ")</f>
        <v>2</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46</v>
      </c>
      <c r="E12" s="403">
        <f t="shared" si="0"/>
        <v>23</v>
      </c>
      <c r="F12" s="402">
        <f>IF(ISNUMBER(Datos!N12),Datos!N12," - ")</f>
        <v>78</v>
      </c>
      <c r="G12" s="403">
        <f t="shared" si="1"/>
        <v>39</v>
      </c>
      <c r="H12" s="402">
        <f>IF(ISNUMBER(Datos!O12),Datos!O12," - ")</f>
        <v>80</v>
      </c>
      <c r="I12" s="403">
        <f t="shared" si="2"/>
        <v>40</v>
      </c>
      <c r="BZ12" s="1181">
        <f>Datos!EZ12</f>
        <v>0</v>
      </c>
    </row>
    <row r="13" spans="1:78" ht="14.25" thickTop="1" thickBot="1">
      <c r="A13" s="845" t="str">
        <f>Datos!A13</f>
        <v>TOTAL</v>
      </c>
      <c r="B13" s="846">
        <f>Datos!AP13</f>
        <v>2</v>
      </c>
      <c r="C13" s="848">
        <f>Datos!AR13</f>
        <v>2</v>
      </c>
      <c r="D13" s="846">
        <f>SUBTOTAL(9,D9:D12)</f>
        <v>49</v>
      </c>
      <c r="E13" s="847">
        <f t="shared" si="0"/>
        <v>24.5</v>
      </c>
      <c r="F13" s="846">
        <f>SUBTOTAL(9,F9:F12)</f>
        <v>80</v>
      </c>
      <c r="G13" s="847">
        <f t="shared" si="1"/>
        <v>40</v>
      </c>
      <c r="H13" s="846">
        <f>SUBTOTAL(9,H9:H12)</f>
        <v>80</v>
      </c>
      <c r="I13" s="847">
        <f>IF(ISNUMBER(H13/B13),H13/B13," - ")</f>
        <v>40</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31</v>
      </c>
      <c r="E17" s="403">
        <f t="shared" si="3"/>
        <v>15.5</v>
      </c>
      <c r="F17" s="402">
        <f>IF(ISNUMBER(Datos!N17),Datos!N17," - ")</f>
        <v>328</v>
      </c>
      <c r="G17" s="403">
        <f t="shared" si="4"/>
        <v>164</v>
      </c>
      <c r="H17" s="402">
        <f>IF(ISNUMBER(Datos!O17),Datos!O17," - ")</f>
        <v>1</v>
      </c>
      <c r="I17" s="403">
        <f t="shared" si="5"/>
        <v>0.5</v>
      </c>
      <c r="BZ17" s="1181">
        <f>Datos!EZ17</f>
        <v>0</v>
      </c>
    </row>
    <row r="18" spans="1:78" ht="13.5" thickBot="1">
      <c r="A18" s="401" t="str">
        <f>Datos!A18</f>
        <v>Sección De Violencia sobre la Mujer del TI</v>
      </c>
      <c r="B18" s="426">
        <f>Datos!AO18</f>
        <v>1</v>
      </c>
      <c r="C18" s="427">
        <f>Datos!AQ18</f>
        <v>0</v>
      </c>
      <c r="D18" s="402">
        <f>IF(ISNUMBER(Datos!M18),Datos!M18," - ")</f>
        <v>10</v>
      </c>
      <c r="E18" s="403">
        <f>IF(ISNUMBER(D18/B18),D18/B18," - ")</f>
        <v>10</v>
      </c>
      <c r="F18" s="402">
        <f>IF(ISNUMBER(Datos!N18),Datos!N18," - ")</f>
        <v>29</v>
      </c>
      <c r="G18" s="403">
        <f>IF(ISNUMBER(F18/B18),F18/B18," - ")</f>
        <v>29</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41</v>
      </c>
      <c r="E19" s="847">
        <f t="shared" si="3"/>
        <v>20.5</v>
      </c>
      <c r="F19" s="846">
        <f>SUBTOTAL(9,F15:F18)</f>
        <v>357</v>
      </c>
      <c r="G19" s="847">
        <f t="shared" si="4"/>
        <v>178.5</v>
      </c>
      <c r="H19" s="846">
        <f>SUBTOTAL(9,H15:H18)</f>
        <v>1</v>
      </c>
      <c r="I19" s="847">
        <f>IF(ISNUMBER(H19/B19),H19/B19," - ")</f>
        <v>0.5</v>
      </c>
      <c r="BZ19" s="1181"/>
    </row>
    <row r="20" spans="1:78" ht="14.25" thickTop="1" thickBot="1">
      <c r="A20" s="790" t="str">
        <f>Datos!A20</f>
        <v>TOTAL JURISDICCIONES</v>
      </c>
      <c r="B20" s="791">
        <f>Datos!AP20</f>
        <v>2</v>
      </c>
      <c r="C20" s="791">
        <f>Datos!AR20</f>
        <v>2</v>
      </c>
      <c r="D20" s="791">
        <f>SUBTOTAL(9,D8:D19)</f>
        <v>90</v>
      </c>
      <c r="E20" s="792">
        <f>IF(ISNUMBER(D20/B20),D20/B20," - ")</f>
        <v>45</v>
      </c>
      <c r="F20" s="791">
        <f>SUBTOTAL(9,F8:F19)</f>
        <v>437</v>
      </c>
      <c r="G20" s="792">
        <f>IF(ISNUMBER(F20/B20),F20/B20," - ")</f>
        <v>218.5</v>
      </c>
      <c r="H20" s="791">
        <f>SUBTOTAL(9,H8:H19)</f>
        <v>81</v>
      </c>
      <c r="I20" s="792">
        <f>IF(ISNUMBER(H20/B20),H20/B20," - ")</f>
        <v>40.5</v>
      </c>
    </row>
    <row r="23" spans="1:78">
      <c r="A23" s="390" t="str">
        <f>Criterios!A4</f>
        <v>Fecha Informe: 06 oct. 2026</v>
      </c>
    </row>
    <row r="28" spans="1:78">
      <c r="A28" s="413"/>
    </row>
  </sheetData>
  <sheetProtection algorithmName="SHA-512" hashValue="8z/6rpasjj1DCKeeqjZU6ODNdPefKPyBsBCkho5SrC4l8RL6cP6OveCmPuIeqOza0QefacH3I5ia20G0aqnjtA==" saltValue="IApD2qRMFWZcPpIeQB4UF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REGION DE MURCIA</v>
      </c>
    </row>
    <row r="3" spans="1:4" ht="19.5">
      <c r="A3" s="428" t="s">
        <v>32</v>
      </c>
      <c r="B3" s="390" t="str">
        <f>Criterios!A10 &amp;"  "&amp;Criterios!B10</f>
        <v>Provincias  MURCIA</v>
      </c>
    </row>
    <row r="4" spans="1:4" ht="13.5" thickBot="1">
      <c r="B4" s="390" t="str">
        <f>Criterios!A11 &amp;"  "&amp;Criterios!B11</f>
        <v>Resumenes por Partidos Judiciales  YECLA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66</v>
      </c>
      <c r="C12" s="433">
        <f>IF(ISNUMBER(Datos!Q12),Datos!Q12," - ")</f>
        <v>38</v>
      </c>
      <c r="D12" s="407">
        <f>IF(ISNUMBER(Datos!R12),Datos!R12," - ")</f>
        <v>1732</v>
      </c>
    </row>
    <row r="13" spans="1:4" ht="14.25" thickTop="1" thickBot="1">
      <c r="A13" s="845" t="str">
        <f>Datos!A13</f>
        <v>TOTAL</v>
      </c>
      <c r="B13" s="846">
        <f>SUBTOTAL(9,B9:B12)</f>
        <v>66</v>
      </c>
      <c r="C13" s="850">
        <f>SUBTOTAL(9,C9:C12)</f>
        <v>38</v>
      </c>
      <c r="D13" s="848">
        <f>SUBTOTAL(9,D9:D12)</f>
        <v>1734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v>
      </c>
      <c r="C17" s="433">
        <f>IF(ISNUMBER(Datos!Q17),Datos!Q17," - ")</f>
        <v>2</v>
      </c>
      <c r="D17" s="407">
        <f>IF(ISNUMBER(Datos!R17),Datos!R17," - ")</f>
        <v>88</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2</v>
      </c>
      <c r="C19" s="850">
        <f>SUBTOTAL(9,C15:C18)</f>
        <v>2</v>
      </c>
      <c r="D19" s="848">
        <f>SUBTOTAL(9,D15:D18)</f>
        <v>89</v>
      </c>
    </row>
    <row r="20" spans="1:4" ht="16.5" customHeight="1" thickTop="1" thickBot="1">
      <c r="A20" s="790" t="str">
        <f>Datos!A20</f>
        <v>TOTAL JURISDICCIONES</v>
      </c>
      <c r="B20" s="795">
        <f>SUBTOTAL(9,B8:B19)</f>
        <v>68</v>
      </c>
      <c r="C20" s="796">
        <f>SUBTOTAL(9,C8:C19)</f>
        <v>40</v>
      </c>
      <c r="D20" s="797">
        <f>SUBTOTAL(9,D8:D19)</f>
        <v>1823</v>
      </c>
    </row>
    <row r="21" spans="1:4" ht="7.5" customHeight="1"/>
    <row r="22" spans="1:4" ht="6" customHeight="1"/>
    <row r="23" spans="1:4">
      <c r="A23" s="390" t="str">
        <f>Criterios!A4</f>
        <v>Fecha Informe: 06 oct. 2026</v>
      </c>
    </row>
    <row r="28" spans="1:4">
      <c r="A28" s="413"/>
    </row>
  </sheetData>
  <sheetProtection algorithmName="SHA-512" hashValue="eWUbmaHMPt0HNAQ08UqKkq+cG5K2e0+ztSYSu/m46ecpFfG6N4ffz+mOxBfKtcwB3RI8Xha1Vof45/PIIuZrag==" saltValue="RblizesOp/JxjwdJHhUNQ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REGION DE MURCIA</v>
      </c>
    </row>
    <row r="3" spans="1:11" ht="18.75" customHeight="1">
      <c r="A3" s="428" t="s">
        <v>118</v>
      </c>
      <c r="B3" s="390" t="str">
        <f>Criterios!A10 &amp;"  "&amp;Criterios!B10</f>
        <v>Provincias  MURCIA</v>
      </c>
    </row>
    <row r="4" spans="1:11" ht="10.5" customHeight="1" thickBot="1">
      <c r="B4" s="390" t="str">
        <f>Criterios!A11 &amp;"  "&amp;Criterios!B11</f>
        <v>Resumenes por Partidos Judiciales  YECLA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0.52941176470588236</v>
      </c>
      <c r="C10" s="455">
        <f>IF(ISNUMBER((Datos!J10-Datos!T10)/Datos!T10),(Datos!J10-Datos!T10)/Datos!T10," - ")</f>
        <v>0.75</v>
      </c>
      <c r="D10" s="455">
        <f>IF(ISNUMBER((Datos!K10-Datos!U10)/Datos!U10),(Datos!K10-Datos!U10)/Datos!U10," - ")</f>
        <v>0.2</v>
      </c>
      <c r="E10" s="455">
        <f>IF(ISNUMBER((Datos!L10-Datos!V10)/Datos!V10),(Datos!L10-Datos!V10)/Datos!V10," - ")</f>
        <v>0.6875</v>
      </c>
      <c r="F10" s="455">
        <f>IF(ISNUMBER((Datos!M10-Datos!W10)/Datos!W10),(Datos!M10-Datos!W10)/Datos!W10," - ")</f>
        <v>-0.25</v>
      </c>
      <c r="G10" s="456" t="str">
        <f>IF(ISNUMBER((Datos!N10-Datos!X10)/Datos!X10),(Datos!N10-Datos!X10)/Datos!X10," - ")</f>
        <v xml:space="preserve"> - </v>
      </c>
      <c r="H10" s="454">
        <f>IF(ISNUMBER(((NºAsuntos!G10/NºAsuntos!E10)-Datos!BD10)/Datos!BD10),((NºAsuntos!G10/NºAsuntos!E10)-Datos!BD10)/Datos!BD10," - ")</f>
        <v>-0.31428571428571433</v>
      </c>
      <c r="I10" s="455">
        <f>IF(ISNUMBER(((NºAsuntos!I10/NºAsuntos!G10)-Datos!BE10)/Datos!BE10),((NºAsuntos!I10/NºAsuntos!G10)-Datos!BE10)/Datos!BE10," - ")</f>
        <v>0.40624999999999994</v>
      </c>
      <c r="J10" s="460">
        <f>IF(ISNUMBER((('Resol  Asuntos'!D10/NºAsuntos!G10)-Datos!BF10)/Datos!BF10),(('Resol  Asuntos'!D10/NºAsuntos!G10)-Datos!BF10)/Datos!BF10," - ")</f>
        <v>-0.37500000000000006</v>
      </c>
      <c r="K10" s="461">
        <f>IF(ISNUMBER((((NºAsuntos!C10+NºAsuntos!E10)/NºAsuntos!G10)-Datos!BG10)/Datos!BG10),(((NºAsuntos!C10+NºAsuntos!E10)/NºAsuntos!G10)-Datos!BG10)/Datos!BG10," - ")</f>
        <v>0.30952380952380948</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0.40293890177880898</v>
      </c>
      <c r="C12" s="455">
        <f>IF(ISNUMBER(
   IF(J_V="SI",(Datos!J12-Datos!T12)/Datos!T12,(Datos!J12+Datos!Z12-(Datos!T12+Datos!AH12))/(Datos!T12+Datos!AH12))
     ),IF(J_V="SI",(Datos!J12-Datos!T12)/Datos!T12,(Datos!J12+Datos!Z12-(Datos!T12+Datos!AH12))/(Datos!T12+Datos!AH12))," - ")</f>
        <v>-0.64683301343570054</v>
      </c>
      <c r="D12" s="455">
        <f>IF(ISNUMBER(
   IF(J_V="SI",(Datos!K12-Datos!U12)/Datos!U12,(Datos!K12+Datos!AA12-(Datos!U12+Datos!AI12))/(Datos!U12+Datos!AI12))
     ),IF(J_V="SI",(Datos!K12-Datos!U12)/Datos!U12,(Datos!K12+Datos!AA12-(Datos!U12+Datos!AI12))/(Datos!U12+Datos!AI12))," - ")</f>
        <v>-0.34191176470588236</v>
      </c>
      <c r="E12" s="455">
        <f>IF(ISNUMBER(
   IF(J_V="SI",(Datos!L12-Datos!V12)/Datos!V12,(Datos!L12+Datos!AB12-(Datos!V12+Datos!AJ12))/(Datos!V12+Datos!AJ12))
     ),IF(J_V="SI",(Datos!L12-Datos!V12)/Datos!V12,(Datos!L12+Datos!AB12-(Datos!V12+Datos!AJ12))/(Datos!V12+Datos!AJ12))," - ")</f>
        <v>0.27121001390820582</v>
      </c>
      <c r="F12" s="455">
        <f>IF(ISNUMBER((Datos!M12-Datos!W12)/Datos!W12),(Datos!M12-Datos!W12)/Datos!W12," - ")</f>
        <v>-0.23333333333333334</v>
      </c>
      <c r="G12" s="456">
        <f>IF(ISNUMBER((Datos!N12-Datos!X12)/Datos!X12),(Datos!N12-Datos!X12)/Datos!X12," - ")</f>
        <v>-0.34453781512605042</v>
      </c>
      <c r="H12" s="454">
        <f>IF(ISNUMBER(((NºAsuntos!G12/NºAsuntos!E12)-Datos!BD12)/Datos!BD12),((NºAsuntos!G12/NºAsuntos!E12)-Datos!BD12)/Datos!BD12," - ")</f>
        <v>0.86339114450127896</v>
      </c>
      <c r="I12" s="455">
        <f>IF(ISNUMBER(((NºAsuntos!I12/NºAsuntos!G12)-Datos!BE12)/Datos!BE12),((NºAsuntos!I12/NºAsuntos!G12)-Datos!BE12)/Datos!BE12," - ")</f>
        <v>0.93167108258677078</v>
      </c>
      <c r="J12" s="460">
        <f>IF(ISNUMBER((('Resol  Asuntos'!D12/NºAsuntos!G12)-Datos!BF12)/Datos!BF12),(('Resol  Asuntos'!D12/NºAsuntos!G12)-Datos!BF12)/Datos!BF12," - ")</f>
        <v>-0.412609736632083</v>
      </c>
      <c r="K12" s="461">
        <f>IF(ISNUMBER((((NºAsuntos!C12+NºAsuntos!E12)/NºAsuntos!G12)-Datos!BG12)/Datos!BG12),(((NºAsuntos!C12+NºAsuntos!E12)/NºAsuntos!G12)-Datos!BG12)/Datos!BG12," - ")</f>
        <v>0.6736863501136412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0.40458015267175573</v>
      </c>
      <c r="C13" s="852">
        <f>IF(ISNUMBER(
   IF(J_V="SI",(Datos!J13-Datos!T13)/Datos!T13,(Datos!J13+Datos!Z13-(Datos!T13+Datos!AH13))/(Datos!T13+Datos!AH13))
     ),IF(J_V="SI",(Datos!J13-Datos!T13)/Datos!T13,(Datos!J13+Datos!Z13-(Datos!T13+Datos!AH13))/(Datos!T13+Datos!AH13))," - ")</f>
        <v>-0.6361904761904762</v>
      </c>
      <c r="D13" s="852">
        <f>IF(ISNUMBER(
   IF(J_V="SI",(Datos!K13-Datos!U13)/Datos!U13,(Datos!K13+Datos!AA13-(Datos!U13+Datos!AI13))/(Datos!U13+Datos!AI13))
     ),IF(J_V="SI",(Datos!K13-Datos!U13)/Datos!U13,(Datos!K13+Datos!AA13-(Datos!U13+Datos!AI13))/(Datos!U13+Datos!AI13))," - ")</f>
        <v>-0.33212996389891697</v>
      </c>
      <c r="E13" s="852">
        <f>IF(ISNUMBER(
   IF(J_V="SI",(Datos!L13-Datos!V13)/Datos!V13,(Datos!L13+Datos!AB13-(Datos!V13+Datos!AJ13))/(Datos!V13+Datos!AJ13))
     ),IF(J_V="SI",(Datos!L13-Datos!V13)/Datos!V13,(Datos!L13+Datos!AB13-(Datos!V13+Datos!AJ13))/(Datos!V13+Datos!AJ13))," - ")</f>
        <v>0.27579092159559837</v>
      </c>
      <c r="F13" s="853">
        <f>IF(ISNUMBER((Datos!M13-Datos!W13)/Datos!W13),(Datos!M13-Datos!W13)/Datos!W13," - ")</f>
        <v>-0.234375</v>
      </c>
      <c r="G13" s="854">
        <f>IF(ISNUMBER((Datos!N13-Datos!X13)/Datos!X13),(Datos!N13-Datos!X13)/Datos!X13," - ")</f>
        <v>-0.32773109243697479</v>
      </c>
      <c r="H13" s="854">
        <f>IF(ISNUMBER(((NºAsuntos!G13/NºAsuntos!E13)-Datos!BD13)/Datos!BD13),((NºAsuntos!G13/NºAsuntos!E13)-Datos!BD13)/Datos!BD13," - ")</f>
        <v>0.83576842383805527</v>
      </c>
      <c r="I13" s="854">
        <f>IF(ISNUMBER(((NºAsuntos!I13/NºAsuntos!G13)-Datos!BE13)/Datos!BE13),((NºAsuntos!I13/NºAsuntos!G13)-Datos!BE13)/Datos!BE13," - ")</f>
        <v>0.91023829882151741</v>
      </c>
      <c r="J13" s="854">
        <f>IF(ISNUMBER((('Resol  Asuntos'!D13/NºAsuntos!G13)-Datos!BF13)/Datos!BF13),(('Resol  Asuntos'!D13/NºAsuntos!G13)-Datos!BF13)/Datos!BF13," - ")</f>
        <v>-0.40351571083278392</v>
      </c>
      <c r="K13" s="854">
        <f>IF(ISNUMBER((((NºAsuntos!C13+NºAsuntos!E13)/NºAsuntos!G13)-Datos!BG13)/Datos!BG13),(((NºAsuntos!C13+NºAsuntos!E13)/NºAsuntos!G13)-Datos!BG13)/Datos!BG13," - ")</f>
        <v>0.65722659989689969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0.3458498023715415</v>
      </c>
      <c r="C17" s="455">
        <f>IF(ISNUMBER(
   IF(D_I="SI",(Datos!J17-Datos!T17)/Datos!T17,(Datos!J17+Datos!AD17-(Datos!T17+Datos!AL17))/(Datos!T17+Datos!AL17))
     ),IF(D_I="SI",(Datos!J17-Datos!T17)/Datos!T17,(Datos!J17+Datos!AD17-(Datos!T17+Datos!AL17))/(Datos!T17+Datos!AL17))," - ")</f>
        <v>0.53150684931506853</v>
      </c>
      <c r="D17" s="455">
        <f>IF(ISNUMBER(
   IF(D_I="SI",(Datos!K17-Datos!U17)/Datos!U17,(Datos!K17+Datos!AE17-(Datos!U17+Datos!AM17))/(Datos!U17+Datos!AM17))
     ),IF(D_I="SI",(Datos!K17-Datos!U17)/Datos!U17,(Datos!K17+Datos!AE17-(Datos!U17+Datos!AM17))/(Datos!U17+Datos!AM17))," - ")</f>
        <v>0.2032967032967033</v>
      </c>
      <c r="E17" s="455">
        <f>IF(ISNUMBER(
   IF(D_I="SI",(Datos!L17-Datos!V17)/Datos!V17,(Datos!L17+Datos!AF17-(Datos!V17+Datos!AN17))/(Datos!V17+Datos!AN17))
     ),IF(D_I="SI",(Datos!L17-Datos!V17)/Datos!V17,(Datos!L17+Datos!AF17-(Datos!V17+Datos!AN17))/(Datos!V17+Datos!AN17))," - ")</f>
        <v>0.77582417582417584</v>
      </c>
      <c r="F17" s="455">
        <f>IF(ISNUMBER((Datos!M17-Datos!W17)/Datos!W17),(Datos!M17-Datos!W17)/Datos!W17," - ")</f>
        <v>-0.18421052631578946</v>
      </c>
      <c r="G17" s="456">
        <f>IF(ISNUMBER((Datos!N17-Datos!X17)/Datos!X17),(Datos!N17-Datos!X17)/Datos!X17," - ")</f>
        <v>0.26640926640926643</v>
      </c>
      <c r="H17" s="454">
        <f>IF(ISNUMBER(((NºAsuntos!G17/NºAsuntos!E17)-Datos!BD17)/Datos!BD17),((NºAsuntos!G17/NºAsuntos!E17)-Datos!BD17)/Datos!BD17," - ")</f>
        <v>-0.21430537262379837</v>
      </c>
      <c r="I17" s="455">
        <f>IF(ISNUMBER(((NºAsuntos!I17/NºAsuntos!G17)-Datos!BE17)/Datos!BE17),((NºAsuntos!I17/NºAsuntos!G17)-Datos!BE17)/Datos!BE17," - ")</f>
        <v>0.47579908675799076</v>
      </c>
      <c r="J17" s="460">
        <f>IF(ISNUMBER((('Resol  Asuntos'!D17/NºAsuntos!G17)-Datos!BF17)/Datos!BF17),(('Resol  Asuntos'!D17/NºAsuntos!G17)-Datos!BF17)/Datos!BF17," - ")</f>
        <v>-0.32203797164143239</v>
      </c>
      <c r="K17" s="461">
        <f>IF(ISNUMBER((((NºAsuntos!C17+NºAsuntos!E17)/NºAsuntos!G17)-Datos!BG17)/Datos!BG17),(((NºAsuntos!C17+NºAsuntos!E17)/NºAsuntos!G17)-Datos!BG17)/Datos!BG17," - ")</f>
        <v>0.18312546854767264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0.25</v>
      </c>
      <c r="C18" s="455">
        <f>IF(ISNUMBER(
   IF(D_I="SI",(Datos!J18-Datos!T18)/Datos!T18,(Datos!J18+Datos!AD18-(Datos!T18+Datos!AL18))/(Datos!T18+Datos!AL18))
     ),IF(D_I="SI",(Datos!J18-Datos!T18)/Datos!T18,(Datos!J18+Datos!AD18-(Datos!T18+Datos!AL18))/(Datos!T18+Datos!AL18))," - ")</f>
        <v>0.4358974358974359</v>
      </c>
      <c r="D18" s="455">
        <f>IF(ISNUMBER(
   IF(D_I="SI",(Datos!K18-Datos!U18)/Datos!U18,(Datos!K18+Datos!AE18-(Datos!U18+Datos!AM18))/(Datos!U18+Datos!AM18))
     ),IF(D_I="SI",(Datos!K18-Datos!U18)/Datos!U18,(Datos!K18+Datos!AE18-(Datos!U18+Datos!AM18))/(Datos!U18+Datos!AM18))," - ")</f>
        <v>0.10526315789473684</v>
      </c>
      <c r="E18" s="455">
        <f>IF(ISNUMBER(
   IF(D_I="SI",(Datos!L18-Datos!V18)/Datos!V18,(Datos!L18+Datos!AF18-(Datos!V18+Datos!AN18))/(Datos!V18+Datos!AN18))
     ),IF(D_I="SI",(Datos!L18-Datos!V18)/Datos!V18,(Datos!L18+Datos!AF18-(Datos!V18+Datos!AN18))/(Datos!V18+Datos!AN18))," - ")</f>
        <v>0.53061224489795922</v>
      </c>
      <c r="F18" s="455">
        <f>IF(ISNUMBER((Datos!M18-Datos!W18)/Datos!W18),(Datos!M18-Datos!W18)/Datos!W18," - ")</f>
        <v>0</v>
      </c>
      <c r="G18" s="456">
        <f>IF(ISNUMBER((Datos!N18-Datos!X18)/Datos!X18),(Datos!N18-Datos!X18)/Datos!X18," - ")</f>
        <v>0.70588235294117652</v>
      </c>
      <c r="H18" s="454">
        <f>IF(ISNUMBER(((NºAsuntos!G18/NºAsuntos!E18)-Datos!BD18)/Datos!BD18),((NºAsuntos!G18/NºAsuntos!E18)-Datos!BD18)/Datos!BD18," - ")</f>
        <v>-0.23026315789473684</v>
      </c>
      <c r="I18" s="455">
        <f>IF(ISNUMBER(((NºAsuntos!I18/NºAsuntos!G18)-Datos!BE18)/Datos!BE18),((NºAsuntos!I18/NºAsuntos!G18)-Datos!BE18)/Datos!BE18," - ")</f>
        <v>0.38483965014577265</v>
      </c>
      <c r="J18" s="460">
        <f>IF(ISNUMBER((('Resol  Asuntos'!D18/NºAsuntos!G18)-Datos!BF18)/Datos!BF18),(('Resol  Asuntos'!D18/NºAsuntos!G18)-Datos!BF18)/Datos!BF18," - ")</f>
        <v>-9.5238095238095233E-2</v>
      </c>
      <c r="K18" s="461">
        <f>IF(ISNUMBER((((NºAsuntos!C18+NºAsuntos!E18)/NºAsuntos!G18)-Datos!BG18)/Datos!BG18),(((NºAsuntos!C18+NºAsuntos!E18)/NºAsuntos!G18)-Datos!BG18)/Datos!BG18," - ")</f>
        <v>0.20634920634920645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0.33754512635379064</v>
      </c>
      <c r="C19" s="852">
        <f>IF(ISNUMBER(
   IF(Criterios!B14="SI",(Datos!J19-Datos!T19)/Datos!T19,(Datos!J19+Datos!AD19-(Datos!T19+Datos!AL19))/(Datos!T19+Datos!AL19))
     ),IF(Criterios!B14="SI",(Datos!J19-Datos!T19)/Datos!T19,(Datos!J19+Datos!AD19-(Datos!T19+Datos!AL19))/(Datos!T19+Datos!AL19))," - ")</f>
        <v>0.5222772277227723</v>
      </c>
      <c r="D19" s="852">
        <f>IF(ISNUMBER(
   IF(Criterios!B14="SI",(Datos!K19-Datos!U19)/Datos!U19,(Datos!K19+Datos!AE19-(Datos!U19+Datos!AM19))/(Datos!U19+Datos!AM19))
     ),IF(Criterios!B14="SI",(Datos!K19-Datos!U19)/Datos!U19,(Datos!K19+Datos!AE19-(Datos!U19+Datos!AM19))/(Datos!U19+Datos!AM19))," - ")</f>
        <v>0.19402985074626866</v>
      </c>
      <c r="E19" s="852">
        <f>IF(ISNUMBER(
   IF(Criterios!B14="SI",(Datos!L19-Datos!V19)/Datos!V19,(Datos!L19+Datos!AF19-(Datos!V19+Datos!AN19))/(Datos!V19+Datos!AN19))
     ),IF(Criterios!B14="SI",(Datos!L19-Datos!V19)/Datos!V19,(Datos!L19+Datos!AF19-(Datos!V19+Datos!AN19))/(Datos!V19+Datos!AN19))," - ")</f>
        <v>0.75198412698412698</v>
      </c>
      <c r="F19" s="853">
        <f>IF(ISNUMBER((Datos!M19-Datos!W19)/Datos!W19),(Datos!M19-Datos!W19)/Datos!W19," - ")</f>
        <v>-0.14583333333333334</v>
      </c>
      <c r="G19" s="854">
        <f>IF(ISNUMBER((Datos!N19-Datos!X19)/Datos!X19),(Datos!N19-Datos!X19)/Datos!X19," - ")</f>
        <v>0.29347826086956524</v>
      </c>
      <c r="H19" s="854">
        <f>IF(ISNUMBER(((NºAsuntos!G19/NºAsuntos!E19)-Datos!BD19)/Datos!BD19),((NºAsuntos!G19/NºAsuntos!E19)-Datos!BD19)/Datos!BD19," - ")</f>
        <v>-0.21562917121708527</v>
      </c>
      <c r="I19" s="854">
        <f>IF(ISNUMBER(((NºAsuntos!I19/NºAsuntos!G19)-Datos!BE19)/Datos!BE19),((NºAsuntos!I19/NºAsuntos!G19)-Datos!BE19)/Datos!BE19," - ")</f>
        <v>0.46728670634920627</v>
      </c>
      <c r="J19" s="854">
        <f>IF(ISNUMBER((('Resol  Asuntos'!D19/NºAsuntos!G19)-Datos!BF19)/Datos!BF19),(('Resol  Asuntos'!D19/NºAsuntos!G19)-Datos!BF19)/Datos!BF19," - ")</f>
        <v>-0.28463541666666664</v>
      </c>
      <c r="K19" s="854">
        <f>IF(ISNUMBER((((NºAsuntos!C19+NºAsuntos!E19)/NºAsuntos!G19)-Datos!BG19)/Datos!BG19),(((NºAsuntos!C19+NºAsuntos!E19)/NºAsuntos!G19)-Datos!BG19)/Datos!BG19," - ")</f>
        <v>0.18543841336116912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0.38465665236051499</v>
      </c>
      <c r="C20" s="799">
        <f>IF(ISNUMBER(
   IF(J_V="SI",(Datos!J20-Datos!T20)/Datos!T20,(Datos!J20+Datos!Z20-(Datos!T20+Datos!AH20))/(Datos!T20+Datos!AH20))
     ),IF(J_V="SI",(Datos!J20-Datos!T20)/Datos!T20,(Datos!J20+Datos!Z20-(Datos!T20+Datos!AH20))/(Datos!T20+Datos!AH20))," - ")</f>
        <v>-0.13240043057050593</v>
      </c>
      <c r="D20" s="799">
        <f>IF(ISNUMBER(
   IF(J_V="SI",(Datos!K20-Datos!U20)/Datos!U20,(Datos!K20+Datos!AA20-(Datos!U20+Datos!AI20))/(Datos!U20+Datos!AI20))
     ),IF(J_V="SI",(Datos!K20-Datos!U20)/Datos!U20,(Datos!K20+Datos!AA20-(Datos!U20+Datos!AI20))/(Datos!U20+Datos!AI20))," - ")</f>
        <v>-2.0618556701030927E-2</v>
      </c>
      <c r="E20" s="799">
        <f>IF(ISNUMBER(
   IF(J_V="SI",(Datos!L20-Datos!V20)/Datos!V20,(Datos!L20+Datos!AB20-(Datos!V20+Datos!AJ20))/(Datos!V20+Datos!AJ20))
     ),IF(J_V="SI",(Datos!L20-Datos!V20)/Datos!V20,(Datos!L20+Datos!AB20-(Datos!V20+Datos!AJ20))/(Datos!V20+Datos!AJ20))," - ")</f>
        <v>0.39836567926455568</v>
      </c>
      <c r="F20" s="800">
        <f>IF(ISNUMBER((Datos!M20-Datos!W20)/Datos!W20),(Datos!M20-Datos!W20)/Datos!W20," - ")</f>
        <v>-0.19642857142857142</v>
      </c>
      <c r="G20" s="801">
        <f>IF(ISNUMBER((Datos!N20-Datos!X20)/Datos!X20),(Datos!N20-Datos!X20)/Datos!X20," - ")</f>
        <v>0.10632911392405063</v>
      </c>
      <c r="H20" s="802">
        <f>IF(ISNUMBER((Tasas!B20-Datos!BD20)/Datos!BD20),(Tasas!B20-Datos!BD20)/Datos!BD20," - ")</f>
        <v>0.12884039804558597</v>
      </c>
      <c r="I20" s="803">
        <f>IF(ISNUMBER((Tasas!C20-Datos!BE20)/Datos!BE20),(Tasas!C20-Datos!BE20)/Datos!BE20," - ")</f>
        <v>0.42780495672275692</v>
      </c>
      <c r="J20" s="804">
        <f>IF(ISNUMBER((Tasas!D20-Datos!BF20)/Datos!BF20),(Tasas!D20-Datos!BF20)/Datos!BF20," - ")</f>
        <v>-0.46260387811634351</v>
      </c>
      <c r="K20" s="804">
        <f>IF(ISNUMBER((Tasas!E20-Datos!BG20)/Datos!BG20),(Tasas!E20-Datos!BG20)/Datos!BG20," - ")</f>
        <v>0.23820453389111901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1emBRZEHUUO6balAjBXCeyZfHVmR41W8DT/UsLC315ENyefTKY29KhoDpXe5MuBT8qIqIPBuVeciPc4KBPRfQQ==" saltValue="zDc+PZDTs9GmVtBgEdsJs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REGION DE MURCIA</v>
      </c>
    </row>
    <row r="3" spans="1:7" ht="19.5">
      <c r="A3" s="435" t="s">
        <v>12</v>
      </c>
      <c r="B3" s="390" t="str">
        <f>Criterios!A10 &amp;"  "&amp;Criterios!B10</f>
        <v>Provincias  MURCIA</v>
      </c>
    </row>
    <row r="4" spans="1:7" ht="11.25" customHeight="1" thickBot="1">
      <c r="B4" s="390" t="str">
        <f>Criterios!A11 &amp;"  "&amp;Criterios!B11</f>
        <v>Resumenes por Partidos Judiciales  YECLA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0.8571428571428571</v>
      </c>
      <c r="C10" s="442">
        <f>IF(ISNUMBER(NºAsuntos!I10/NºAsuntos!G10),NºAsuntos!I10/NºAsuntos!G10," - ")</f>
        <v>4.5</v>
      </c>
      <c r="D10" s="443">
        <f>IF(ISNUMBER('Resol  Asuntos'!D10/NºAsuntos!G10),'Resol  Asuntos'!D10/NºAsuntos!G10," - ")</f>
        <v>0.5</v>
      </c>
      <c r="E10" s="444">
        <f>IF(ISNUMBER((NºAsuntos!C10+NºAsuntos!E10)/NºAsuntos!G10),(NºAsuntos!C10+NºAsuntos!E10)/NºAsuntos!G10," - ")</f>
        <v>5.5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0.97282608695652173</v>
      </c>
      <c r="C12" s="442">
        <f>IF(ISNUMBER(NºAsuntos!I12/NºAsuntos!G12),NºAsuntos!I12/NºAsuntos!G12," - ")</f>
        <v>10.212290502793296</v>
      </c>
      <c r="D12" s="443">
        <f>IF(ISNUMBER('Resol  Asuntos'!D12/NºAsuntos!G12),'Resol  Asuntos'!D12/NºAsuntos!G12," - ")</f>
        <v>0.25698324022346369</v>
      </c>
      <c r="E12" s="444">
        <f>IF(ISNUMBER((NºAsuntos!C12+NºAsuntos!E12)/NºAsuntos!G12),(NºAsuntos!C12+NºAsuntos!E12)/NºAsuntos!G12," - ")</f>
        <v>11.162011173184357</v>
      </c>
      <c r="G12" s="462"/>
    </row>
    <row r="13" spans="1:7" ht="14.25" thickTop="1" thickBot="1">
      <c r="A13" s="845" t="str">
        <f>Datos!A13</f>
        <v>TOTAL</v>
      </c>
      <c r="B13" s="855">
        <f>IF(ISNUMBER(NºAsuntos!G13/NºAsuntos!E13),NºAsuntos!G13/NºAsuntos!E13," - ")</f>
        <v>0.96858638743455494</v>
      </c>
      <c r="C13" s="856">
        <f>IF(ISNUMBER(NºAsuntos!I13/NºAsuntos!G13),NºAsuntos!I13/NºAsuntos!G13," - ")</f>
        <v>10.027027027027026</v>
      </c>
      <c r="D13" s="857">
        <f>IF(ISNUMBER('Resol  Asuntos'!D13/NºAsuntos!G13),'Resol  Asuntos'!D13/NºAsuntos!G13," - ")</f>
        <v>0.26486486486486488</v>
      </c>
      <c r="E13" s="858">
        <f>IF(ISNUMBER((NºAsuntos!C13+NºAsuntos!E13)/NºAsuntos!G13),(NºAsuntos!C13+NºAsuntos!E13)/NºAsuntos!G13," - ")</f>
        <v>10.978378378378379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0.78354203935599287</v>
      </c>
      <c r="C17" s="442">
        <f>IF(ISNUMBER(NºAsuntos!I17/NºAsuntos!G17),NºAsuntos!I17/NºAsuntos!G17," - ")</f>
        <v>1.8447488584474885</v>
      </c>
      <c r="D17" s="443">
        <f>IF(ISNUMBER('Resol  Asuntos'!D17/NºAsuntos!G17),'Resol  Asuntos'!D17/NºAsuntos!G17," - ")</f>
        <v>7.0776255707762553E-2</v>
      </c>
      <c r="E17" s="444">
        <f>IF(ISNUMBER((NºAsuntos!C17+NºAsuntos!E17)/NºAsuntos!G17),(NºAsuntos!C17+NºAsuntos!E17)/NºAsuntos!G17," - ")</f>
        <v>2.8310502283105023</v>
      </c>
      <c r="G17" s="462"/>
    </row>
    <row r="18" spans="1:7" ht="21.75" thickBot="1">
      <c r="A18" s="401" t="str">
        <f>Datos!A18</f>
        <v>Sección De Violencia sobre la Mujer del TI</v>
      </c>
      <c r="B18" s="441">
        <f>IF(ISNUMBER(NºAsuntos!G18/NºAsuntos!E18),NºAsuntos!G18/NºAsuntos!E18," - ")</f>
        <v>0.75</v>
      </c>
      <c r="C18" s="442">
        <f>IF(ISNUMBER(NºAsuntos!I18/NºAsuntos!G18),NºAsuntos!I18/NºAsuntos!G18," - ")</f>
        <v>1.7857142857142858</v>
      </c>
      <c r="D18" s="443">
        <f>IF(ISNUMBER('Resol  Asuntos'!D18/NºAsuntos!G18),'Resol  Asuntos'!D18/NºAsuntos!G18," - ")</f>
        <v>0.23809523809523808</v>
      </c>
      <c r="E18" s="444">
        <f>IF(ISNUMBER((NºAsuntos!C18+NºAsuntos!E18)/NºAsuntos!G18),(NºAsuntos!C18+NºAsuntos!E18)/NºAsuntos!G18," - ")</f>
        <v>2.7619047619047619</v>
      </c>
      <c r="G18" s="462"/>
    </row>
    <row r="19" spans="1:7" ht="14.25" thickTop="1" thickBot="1">
      <c r="A19" s="845" t="str">
        <f>Datos!A19</f>
        <v>TOTAL</v>
      </c>
      <c r="B19" s="855">
        <f>IF(ISNUMBER(NºAsuntos!G19/NºAsuntos!E19),NºAsuntos!G19/NºAsuntos!E19," - ")</f>
        <v>0.78048780487804881</v>
      </c>
      <c r="C19" s="856">
        <f>IF(ISNUMBER(NºAsuntos!I19/NºAsuntos!G19),NºAsuntos!I19/NºAsuntos!G19," - ")</f>
        <v>1.8395833333333333</v>
      </c>
      <c r="D19" s="859">
        <f>IF(ISNUMBER('Resol  Asuntos'!D19/NºAsuntos!G19),'Resol  Asuntos'!D19/NºAsuntos!G19," - ")</f>
        <v>8.5416666666666669E-2</v>
      </c>
      <c r="E19" s="858">
        <f>IF(ISNUMBER((NºAsuntos!C19+NºAsuntos!E19)/NºAsuntos!G19),(NºAsuntos!C19+NºAsuntos!E19)/NºAsuntos!G19," - ")</f>
        <v>2.8250000000000002</v>
      </c>
      <c r="G19" s="462"/>
    </row>
    <row r="20" spans="1:7" ht="15.75" customHeight="1" thickTop="1" thickBot="1">
      <c r="A20" s="790" t="str">
        <f>Datos!A20</f>
        <v>TOTAL JURISDICCIONES</v>
      </c>
      <c r="B20" s="805">
        <f>IF(ISNUMBER(NºAsuntos!G20/NºAsuntos!E20),NºAsuntos!G20/NºAsuntos!E20," - ")</f>
        <v>0.82506203473945405</v>
      </c>
      <c r="C20" s="806">
        <f>IF(ISNUMBER(NºAsuntos!I20/NºAsuntos!G20),NºAsuntos!I20/NºAsuntos!G20," - ")</f>
        <v>4.117293233082707</v>
      </c>
      <c r="D20" s="807">
        <f>IF(ISNUMBER('Resol  Asuntos'!D20/NºAsuntos!G20),'Resol  Asuntos'!D20/NºAsuntos!G20," - ")</f>
        <v>0.13533834586466165</v>
      </c>
      <c r="E20" s="808">
        <f>IF(ISNUMBER((NºAsuntos!C20+NºAsuntos!E20)/NºAsuntos!G20),(NºAsuntos!C20+NºAsuntos!E20)/NºAsuntos!G20," - ")</f>
        <v>5.0932330827067673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drB9OXjTeJ/UE3kQUCHlxg/VQTWtGQ4qO8zvHHxL3bOYhDX4uSsq2tn18PWpc5a+sF+7CGilFdFx3o3wenEzg==" saltValue="MELpjawvew23NmGBBr30J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REGION DE MURCIA</v>
      </c>
      <c r="G2" s="262"/>
      <c r="H2" s="261"/>
      <c r="I2" s="261"/>
      <c r="J2" s="261"/>
      <c r="K2" s="261"/>
      <c r="L2" s="261" t="str">
        <f>Criterios!A10 &amp;"  "&amp;Criterios!B10</f>
        <v>Provincias  MURCIA</v>
      </c>
      <c r="N2" s="261" t="str">
        <f>Criterios!A11 &amp;"  "&amp;Criterios!B11</f>
        <v>Resumenes por Partidos Judiciales  YECLA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26</v>
      </c>
      <c r="G10" s="332">
        <f>IF(ISNUMBER(Datos!I10),Datos!I10," - ")</f>
        <v>26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6</v>
      </c>
      <c r="X10" s="225">
        <f>IF(ISNUMBER(Datos!Q10),Datos!Q10," - ")</f>
        <v>0</v>
      </c>
      <c r="Y10" s="333">
        <f t="shared" ref="Y10:Y12" si="0">SUM(W10:X10)</f>
        <v>6</v>
      </c>
      <c r="Z10" s="334" t="str">
        <f>IF(ISNUMBER(Datos!CC10),Datos!CC10," - ")</f>
        <v xml:space="preserve"> - </v>
      </c>
      <c r="AA10" s="331">
        <f>IF(ISNUMBER(Datos!L10),Datos!L10,"-")</f>
        <v>27</v>
      </c>
      <c r="AB10" s="333">
        <f>IF(ISNUMBER(Datos!R10),Datos!R10," - ")</f>
        <v>2</v>
      </c>
      <c r="AC10" s="333">
        <f t="shared" ref="AC10:AC12" si="1">IF(ISNUMBER(AA10+AB10),AA10+AB10," - ")</f>
        <v>29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v>
      </c>
      <c r="AJ10" s="230" t="str">
        <f>IF(ISNUMBER(Datos!BW10),Datos!BW10," - ")</f>
        <v xml:space="preserve"> - </v>
      </c>
      <c r="AK10" s="231" t="str">
        <f>IF(ISNUMBER(Datos!BX10),Datos!BX10," - ")</f>
        <v xml:space="preserve"> - </v>
      </c>
      <c r="AL10" s="242">
        <f>IF(ISNUMBER(NºAsuntos!G10/NºAsuntos!E10),NºAsuntos!G10/NºAsuntos!E10," - ")</f>
        <v>0.8571428571428571</v>
      </c>
      <c r="AM10" s="259">
        <f>IF(ISNUMBER(((NºAsuntos!I10/NºAsuntos!G10)*11)/factor_trimestre),((NºAsuntos!I10/NºAsuntos!G10)*11)/factor_trimestre," - ")</f>
        <v>13.5</v>
      </c>
      <c r="AN10" s="243">
        <f>IF(ISNUMBER('Resol  Asuntos'!D10/NºAsuntos!G10),'Resol  Asuntos'!D10/NºAsuntos!G10," - ")</f>
        <v>0.5</v>
      </c>
      <c r="AO10" s="244">
        <f>IF(ISNUMBER((NºAsuntos!C10+NºAsuntos!E10)/NºAsuntos!G10),(NºAsuntos!C10+NºAsuntos!E10)/NºAsuntos!G10," - ")</f>
        <v>5.5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66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38</v>
      </c>
      <c r="Y12" s="333">
        <f t="shared" si="0"/>
        <v>38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1732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46</v>
      </c>
      <c r="AJ12" s="228" t="str">
        <f>IF(ISNUMBER(Datos!BW12),Datos!BW12," - ")</f>
        <v xml:space="preserve"> - </v>
      </c>
      <c r="AK12" s="227" t="str">
        <f>IF(ISNUMBER(Datos!BX12),Datos!BX12," - ")</f>
        <v xml:space="preserve"> - </v>
      </c>
      <c r="AL12" s="242">
        <f>IF(ISNUMBER(NºAsuntos!G12/NºAsuntos!E12),NºAsuntos!G12/NºAsuntos!E12," - ")</f>
        <v>0.97282608695652173</v>
      </c>
      <c r="AM12" s="259">
        <f>IF(ISNUMBER(((NºAsuntos!I12/NºAsuntos!G12)*11)/factor_trimestre),((NºAsuntos!I12/NºAsuntos!G12)*11)/factor_trimestre," - ")</f>
        <v>30.636871508379887</v>
      </c>
      <c r="AN12" s="243">
        <f>IF(ISNUMBER('Resol  Asuntos'!D12/NºAsuntos!G12),'Resol  Asuntos'!D12/NºAsuntos!G12," - ")</f>
        <v>0.25698324022346369</v>
      </c>
      <c r="AO12" s="244">
        <f>IF(ISNUMBER((NºAsuntos!C12+NºAsuntos!E12)/NºAsuntos!G12),(NºAsuntos!C12+NºAsuntos!E12)/NºAsuntos!G12," - ")</f>
        <v>11.162011173184357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26</v>
      </c>
      <c r="G13" s="863">
        <f t="shared" si="3"/>
        <v>26</v>
      </c>
      <c r="H13" s="862">
        <f t="shared" si="3"/>
        <v>0</v>
      </c>
      <c r="I13" s="864">
        <f t="shared" si="3"/>
        <v>0</v>
      </c>
      <c r="J13" s="864">
        <f t="shared" si="3"/>
        <v>0</v>
      </c>
      <c r="K13" s="864">
        <f t="shared" si="3"/>
        <v>0</v>
      </c>
      <c r="L13" s="864">
        <f t="shared" si="3"/>
        <v>66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6</v>
      </c>
      <c r="X13" s="864">
        <f t="shared" si="4"/>
        <v>38</v>
      </c>
      <c r="Y13" s="865">
        <f t="shared" si="4"/>
        <v>44</v>
      </c>
      <c r="Z13" s="865">
        <f t="shared" si="4"/>
        <v>0</v>
      </c>
      <c r="AA13" s="865">
        <f t="shared" si="4"/>
        <v>27</v>
      </c>
      <c r="AB13" s="865">
        <f t="shared" si="4"/>
        <v>1734</v>
      </c>
      <c r="AC13" s="865">
        <f t="shared" si="4"/>
        <v>29</v>
      </c>
      <c r="AD13" s="865">
        <f t="shared" si="4"/>
        <v>0</v>
      </c>
      <c r="AE13" s="869">
        <f t="shared" si="4"/>
        <v>0</v>
      </c>
      <c r="AF13" s="862">
        <f t="shared" si="4"/>
        <v>0</v>
      </c>
      <c r="AG13" s="870">
        <f t="shared" si="4"/>
        <v>0</v>
      </c>
      <c r="AH13" s="867">
        <f t="shared" si="4"/>
        <v>0</v>
      </c>
      <c r="AI13" s="862">
        <f t="shared" si="4"/>
        <v>49</v>
      </c>
      <c r="AJ13" s="864">
        <f t="shared" si="4"/>
        <v>0</v>
      </c>
      <c r="AK13" s="867">
        <f>SUBTOTAL(9,AK9:AK12)</f>
        <v>0</v>
      </c>
      <c r="AL13" s="871">
        <f>IF(ISNUMBER(NºAsuntos!G13/NºAsuntos!E13),NºAsuntos!G13/NºAsuntos!E13," - ")</f>
        <v>0.96858638743455494</v>
      </c>
      <c r="AM13" s="871">
        <f>IF(ISNUMBER(((NºAsuntos!I13/NºAsuntos!G13)*11)/factor_trimestre),((NºAsuntos!I13/NºAsuntos!G13)*11)/factor_trimestre," - ")</f>
        <v>30.081081081081081</v>
      </c>
      <c r="AN13" s="872">
        <f>IF(ISNUMBER('Resol  Asuntos'!D13/NºAsuntos!G13),'Resol  Asuntos'!D13/NºAsuntos!G13," - ")</f>
        <v>0.26486486486486488</v>
      </c>
      <c r="AO13" s="873">
        <f>IF(ISNUMBER((NºAsuntos!C13+NºAsuntos!E13)/NºAsuntos!G13),(NºAsuntos!C13+NºAsuntos!E13)/NºAsuntos!G13," - ")</f>
        <v>10.978378378378379</v>
      </c>
      <c r="AP13" s="874" t="str">
        <f t="shared" si="2"/>
        <v xml:space="preserve"> - </v>
      </c>
      <c r="AQ13" s="874">
        <f>IF(ISNUMBER((H13-W13+K13)/(F13)),(H13-W13+K13)/(F13)," - ")</f>
        <v>-0.23076923076923078</v>
      </c>
      <c r="AR13" s="875">
        <f>IF(ISNUMBER((Datos!P13-Datos!Q13)/(Datos!R13-Datos!P13+Datos!Q13)),(Datos!P13-Datos!Q13)/(Datos!R13-Datos!P13+Datos!Q13)," - ")</f>
        <v>1.6412661195779603E-2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687</v>
      </c>
      <c r="G17" s="332">
        <f>IF(ISNUMBER(IF(D_I="SI",Datos!I17,Datos!I17+Datos!AC17)),IF(D_I="SI",Datos!I17,Datos!I17+Datos!AC17)," - ")</f>
        <v>681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438</v>
      </c>
      <c r="X17" s="225">
        <f>IF(ISNUMBER(Datos!Q17),Datos!Q17," - ")</f>
        <v>2</v>
      </c>
      <c r="Y17" s="333">
        <f t="shared" ref="Y17:Y18" si="9">SUM(W17:X17)</f>
        <v>440</v>
      </c>
      <c r="Z17" s="334" t="str">
        <f>IF(ISNUMBER(Datos!CC17),Datos!CC17," - ")</f>
        <v xml:space="preserve"> - </v>
      </c>
      <c r="AA17" s="331">
        <f>IF(ISNUMBER(IF(D_I="SI",Datos!L17,Datos!L17+Datos!AF17)),IF(D_I="SI",Datos!L17,Datos!L17+Datos!AF17)," - ")</f>
        <v>808</v>
      </c>
      <c r="AB17" s="333">
        <f>IF(ISNUMBER(Datos!R17),Datos!R17," - ")</f>
        <v>88</v>
      </c>
      <c r="AC17" s="333">
        <f t="shared" si="6"/>
        <v>896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31</v>
      </c>
      <c r="AJ17" s="230" t="str">
        <f>IF(ISNUMBER(Datos!BW17),Datos!BW17," - ")</f>
        <v xml:space="preserve"> - </v>
      </c>
      <c r="AK17" s="231" t="str">
        <f>IF(ISNUMBER(Datos!BX17),Datos!BX17," - ")</f>
        <v xml:space="preserve"> - </v>
      </c>
      <c r="AL17" s="242">
        <f>IF(ISNUMBER(NºAsuntos!G17/NºAsuntos!E17),NºAsuntos!G17/NºAsuntos!E17," - ")</f>
        <v>0.78354203935599287</v>
      </c>
      <c r="AM17" s="259">
        <f>IF(ISNUMBER(((NºAsuntos!I17/NºAsuntos!G17)*11)/factor_trimestre),((NºAsuntos!I17/NºAsuntos!G17)*11)/factor_trimestre," - ")</f>
        <v>5.5342465753424657</v>
      </c>
      <c r="AN17" s="243">
        <f>IF(ISNUMBER('Resol  Asuntos'!D17/NºAsuntos!G17),'Resol  Asuntos'!D17/NºAsuntos!G17," - ")</f>
        <v>7.0776255707762553E-2</v>
      </c>
      <c r="AO17" s="244">
        <f>IF(ISNUMBER((NºAsuntos!C17+NºAsuntos!E17)/NºAsuntos!G17),(NºAsuntos!C17+NºAsuntos!E17)/NºAsuntos!G17," - ")</f>
        <v>2.8310502283105023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60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42</v>
      </c>
      <c r="X18" s="225">
        <f>IF(ISNUMBER(Datos!Q18),Datos!Q18," - ")</f>
        <v>0</v>
      </c>
      <c r="Y18" s="333">
        <f t="shared" si="9"/>
        <v>42</v>
      </c>
      <c r="Z18" s="334" t="str">
        <f>IF(ISNUMBER(Datos!CC18),Datos!CC18," - ")</f>
        <v xml:space="preserve"> - </v>
      </c>
      <c r="AA18" s="331">
        <f>IF(ISNUMBER(Datos!L18),Datos!L18,"-")</f>
        <v>75</v>
      </c>
      <c r="AB18" s="333">
        <f>IF(ISNUMBER(Datos!R18),Datos!R18," - ")</f>
        <v>1</v>
      </c>
      <c r="AC18" s="333">
        <f t="shared" si="6"/>
        <v>76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10</v>
      </c>
      <c r="AJ18" s="230" t="str">
        <f>IF(ISNUMBER(Datos!BW18),Datos!BW18," - ")</f>
        <v xml:space="preserve"> - </v>
      </c>
      <c r="AK18" s="231" t="str">
        <f>IF(ISNUMBER(Datos!BX18),Datos!BX18," - ")</f>
        <v xml:space="preserve"> - </v>
      </c>
      <c r="AL18" s="242">
        <f>IF(ISNUMBER(NºAsuntos!G18/NºAsuntos!E18),NºAsuntos!G18/NºAsuntos!E18," - ")</f>
        <v>0.75</v>
      </c>
      <c r="AM18" s="259">
        <f>IF(ISNUMBER(((NºAsuntos!I18/NºAsuntos!G18)*11)/factor_trimestre),((NºAsuntos!I18/NºAsuntos!G18)*11)/factor_trimestre," - ")</f>
        <v>5.3571428571428577</v>
      </c>
      <c r="AN18" s="243">
        <f>IF(ISNUMBER('Resol  Asuntos'!D18/NºAsuntos!G18),'Resol  Asuntos'!D18/NºAsuntos!G18," - ")</f>
        <v>0.23809523809523808</v>
      </c>
      <c r="AO18" s="244">
        <f>IF(ISNUMBER((NºAsuntos!C18+NºAsuntos!E18)/NºAsuntos!G18),(NºAsuntos!C18+NºAsuntos!E18)/NºAsuntos!G18," - ")</f>
        <v>2.7619047619047619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687</v>
      </c>
      <c r="G19" s="863">
        <f>SUBTOTAL(9,G15:G18)</f>
        <v>741</v>
      </c>
      <c r="H19" s="862">
        <f t="shared" ref="H19:O19" si="12">SUBTOTAL(9,H14:H18)</f>
        <v>0</v>
      </c>
      <c r="I19" s="864">
        <f t="shared" si="12"/>
        <v>0</v>
      </c>
      <c r="J19" s="864">
        <f t="shared" si="12"/>
        <v>0</v>
      </c>
      <c r="K19" s="864">
        <f t="shared" si="12"/>
        <v>0</v>
      </c>
      <c r="L19" s="864">
        <f t="shared" si="12"/>
        <v>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480</v>
      </c>
      <c r="X19" s="864">
        <f t="shared" si="13"/>
        <v>2</v>
      </c>
      <c r="Y19" s="865">
        <f t="shared" si="13"/>
        <v>482</v>
      </c>
      <c r="Z19" s="865">
        <f t="shared" si="13"/>
        <v>0</v>
      </c>
      <c r="AA19" s="865">
        <f t="shared" si="13"/>
        <v>883</v>
      </c>
      <c r="AB19" s="865">
        <f t="shared" si="13"/>
        <v>89</v>
      </c>
      <c r="AC19" s="865">
        <f t="shared" si="13"/>
        <v>972</v>
      </c>
      <c r="AD19" s="865">
        <f t="shared" si="13"/>
        <v>0</v>
      </c>
      <c r="AE19" s="869">
        <f t="shared" si="13"/>
        <v>0</v>
      </c>
      <c r="AF19" s="862">
        <f t="shared" si="13"/>
        <v>0</v>
      </c>
      <c r="AG19" s="870">
        <f t="shared" si="13"/>
        <v>0</v>
      </c>
      <c r="AH19" s="867">
        <f t="shared" si="13"/>
        <v>0</v>
      </c>
      <c r="AI19" s="862">
        <f t="shared" si="13"/>
        <v>41</v>
      </c>
      <c r="AJ19" s="864">
        <f t="shared" si="13"/>
        <v>0</v>
      </c>
      <c r="AK19" s="867">
        <f t="shared" si="13"/>
        <v>0</v>
      </c>
      <c r="AL19" s="871">
        <f>IF(ISNUMBER(NºAsuntos!G19/NºAsuntos!E19),NºAsuntos!G19/NºAsuntos!E19," - ")</f>
        <v>0.78048780487804881</v>
      </c>
      <c r="AM19" s="871">
        <f>IF(ISNUMBER(((NºAsuntos!I19/NºAsuntos!G19)*11)/factor_trimestre),((NºAsuntos!I19/NºAsuntos!G19)*11)/factor_trimestre," - ")</f>
        <v>5.5187499999999998</v>
      </c>
      <c r="AN19" s="872">
        <f>IF(ISNUMBER('Resol  Asuntos'!D19/NºAsuntos!G19),'Resol  Asuntos'!D19/NºAsuntos!G19," - ")</f>
        <v>8.5416666666666669E-2</v>
      </c>
      <c r="AO19" s="873">
        <f>IF(ISNUMBER((NºAsuntos!C19+NºAsuntos!E19)/NºAsuntos!G19),(NºAsuntos!C19+NºAsuntos!E19)/NºAsuntos!G19," - ")</f>
        <v>2.8250000000000002</v>
      </c>
      <c r="AP19" s="874" t="str">
        <f t="shared" si="2"/>
        <v xml:space="preserve"> - </v>
      </c>
      <c r="AQ19" s="874">
        <f>IF(ISNUMBER((H19-W19+K19)/(F19)),(H19-W19+K19)/(F19)," - ")</f>
        <v>-0.69868995633187769</v>
      </c>
      <c r="AR19" s="875">
        <f>IF(ISNUMBER((Datos!P19-Datos!Q19)/(Datos!R19-Datos!P19+Datos!Q19)),(Datos!P19-Datos!Q19)/(Datos!R19-Datos!P19+Datos!Q19)," - ")</f>
        <v>0</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713</v>
      </c>
      <c r="G20" s="818">
        <f t="shared" si="15"/>
        <v>767</v>
      </c>
      <c r="H20" s="817">
        <f t="shared" si="15"/>
        <v>0</v>
      </c>
      <c r="I20" s="819">
        <f t="shared" si="15"/>
        <v>0</v>
      </c>
      <c r="J20" s="819">
        <f t="shared" si="15"/>
        <v>0</v>
      </c>
      <c r="K20" s="878">
        <f t="shared" si="15"/>
        <v>0</v>
      </c>
      <c r="L20" s="819">
        <f t="shared" si="15"/>
        <v>68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486</v>
      </c>
      <c r="X20" s="818">
        <f t="shared" si="16"/>
        <v>40</v>
      </c>
      <c r="Y20" s="825">
        <f t="shared" si="16"/>
        <v>526</v>
      </c>
      <c r="Z20" s="825">
        <f t="shared" si="16"/>
        <v>0</v>
      </c>
      <c r="AA20" s="825">
        <f t="shared" si="16"/>
        <v>910</v>
      </c>
      <c r="AB20" s="825">
        <f t="shared" si="16"/>
        <v>1823</v>
      </c>
      <c r="AC20" s="825">
        <f t="shared" si="16"/>
        <v>1001</v>
      </c>
      <c r="AD20" s="825">
        <f t="shared" si="16"/>
        <v>0</v>
      </c>
      <c r="AE20" s="827">
        <f t="shared" si="16"/>
        <v>0</v>
      </c>
      <c r="AF20" s="828">
        <f t="shared" si="16"/>
        <v>0</v>
      </c>
      <c r="AG20" s="829">
        <f t="shared" si="16"/>
        <v>0</v>
      </c>
      <c r="AH20" s="827">
        <f t="shared" si="16"/>
        <v>0</v>
      </c>
      <c r="AI20" s="817">
        <f t="shared" si="16"/>
        <v>90</v>
      </c>
      <c r="AJ20" s="817">
        <f t="shared" si="16"/>
        <v>0</v>
      </c>
      <c r="AK20" s="827">
        <f t="shared" si="16"/>
        <v>0</v>
      </c>
      <c r="AL20" s="881">
        <f>IF(ISNUMBER(NºAsuntos!G20/NºAsuntos!E20),NºAsuntos!G20/NºAsuntos!E20," - ")</f>
        <v>0.82506203473945405</v>
      </c>
      <c r="AM20" s="882">
        <f>IF(ISNUMBER(((NºAsuntos!I20/NºAsuntos!G20)*11)/factor_trimestre),((NºAsuntos!I20/NºAsuntos!G20)*11)/factor_trimestre," - ")</f>
        <v>12.351879699248123</v>
      </c>
      <c r="AN20" s="882">
        <f>IF(ISNUMBER('Resol  Asuntos'!D20/NºAsuntos!G20),'Resol  Asuntos'!D20/NºAsuntos!G20," - ")</f>
        <v>0.13533834586466165</v>
      </c>
      <c r="AO20" s="883">
        <f>IF(ISNUMBER((NºAsuntos!C20+NºAsuntos!E20)/NºAsuntos!G20),(NºAsuntos!C20+NºAsuntos!E20)/NºAsuntos!G20," - ")</f>
        <v>5.0932330827067673</v>
      </c>
      <c r="AP20" s="884" t="str">
        <f t="shared" si="2"/>
        <v xml:space="preserve"> - </v>
      </c>
      <c r="AQ20" s="885">
        <f>IF(OR(ISNUMBER(FIND("01",Criterios!A8,1)),ISNUMBER(FIND("02",Criterios!A8,1)),ISNUMBER(FIND("03",Criterios!A8,1)),ISNUMBER(FIND("04",Criterios!A8,1))),(I20-W20+K20)/(F20-K20),(H20-W20+K20)/(F20-K20))</f>
        <v>-0.68162692847124828</v>
      </c>
      <c r="AR20" s="886">
        <f>IF(ISNUMBER((Datos!P20-Datos!Q20)/(Datos!R20-Datos!P20+Datos!Q20)),(Datos!P20-Datos!Q20)/(Datos!R20-Datos!P20+Datos!Q20)," - ")</f>
        <v>1.5598885793871866E-2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306.8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381.62852793434263</v>
      </c>
      <c r="G22" s="252">
        <f>IF(ISNUMBER(STDEV(G8:G19)),STDEV(G8:G19),"-")</f>
        <v>369.85226780432214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242.44752009455573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19.328735085359313</v>
      </c>
      <c r="AJ22" s="251">
        <f t="shared" si="20"/>
        <v>0</v>
      </c>
      <c r="AK22" s="253">
        <f t="shared" si="20"/>
        <v>0</v>
      </c>
      <c r="AL22" s="248">
        <f t="shared" si="20"/>
        <v>9.8409559859572698E-2</v>
      </c>
      <c r="AM22" s="249">
        <f t="shared" si="20"/>
        <v>12.219773242976748</v>
      </c>
      <c r="AN22" s="249">
        <f t="shared" si="20"/>
        <v>0.15553011906227399</v>
      </c>
      <c r="AO22" s="250">
        <f t="shared" si="20"/>
        <v>4.0568009985519113</v>
      </c>
      <c r="AP22" s="290" t="str">
        <f t="shared" si="20"/>
        <v>-</v>
      </c>
      <c r="AQ22" s="291">
        <f t="shared" si="20"/>
        <v>0.33086991810307725</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G8EUqCVF71YAi07DJ0M2We60Mw7mALvMIid3P1ORdcXjflTypnQmGfS9O1jiWfYaer6E9jYXrpfcND1Vjfg5rA==" saltValue="vYZ2qiRg/g/Ul/bC+WrZJ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REGION DE MURCIA</v>
      </c>
      <c r="E2" s="262"/>
    </row>
    <row r="3" spans="2:20" ht="17.25" customHeight="1">
      <c r="C3" s="266"/>
      <c r="D3" s="261" t="str">
        <f>Criterios!A10 &amp;"  "&amp;Criterios!B10</f>
        <v>Provincias  MURCIA</v>
      </c>
      <c r="E3" s="262"/>
    </row>
    <row r="4" spans="2:20" ht="17.25" customHeight="1" thickBot="1">
      <c r="D4" s="261" t="str">
        <f>Criterios!A11 &amp;"  "&amp;Criterios!B11</f>
        <v>Resumenes por Partidos Judiciales  YECLA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0.52941176470588236</v>
      </c>
      <c r="E10" s="347">
        <f>IF(ISNUMBER((Datos!J10-Datos!T10)/Datos!T10),(Datos!J10-Datos!T10)/Datos!T10," - ")</f>
        <v>0.75</v>
      </c>
      <c r="F10" s="347">
        <f>IF(ISNUMBER((Datos!K10-Datos!U10)/Datos!U10),(Datos!K10-Datos!U10)/Datos!U10," - ")</f>
        <v>0.2</v>
      </c>
      <c r="G10" s="348">
        <f>IF(ISNUMBER((Datos!L10-Datos!V10)/Datos!V10),(Datos!L10-Datos!V10)/Datos!V10," - ")</f>
        <v>0.6875</v>
      </c>
      <c r="H10" s="229">
        <f>IF(ISNUMBER((Datos!M10-Datos!W10)/Datos!W10),(Datos!M10-Datos!W10)/Datos!W10," - ")</f>
        <v>-0.25</v>
      </c>
      <c r="I10" s="349">
        <f>IF(ISNUMBER((Tasas!C10-Datos!BE10)/Datos!BE10),(Tasas!C10-Datos!BE10)/Datos!BE10," - ")</f>
        <v>0.40624999999999994</v>
      </c>
      <c r="J10" s="348">
        <f>IF(ISNUMBER((Tasas!D10-Datos!BF10)/Datos!BF10),(Tasas!D10-Datos!BF10)/Datos!BF10," - ")</f>
        <v>-0.37500000000000006</v>
      </c>
      <c r="K10" s="350">
        <f>IF(ISNUMBER((Tasas!E10-Datos!BG10)/Datos!BG10),(Tasas!E10-Datos!BG10)/Datos!BG10," - ")</f>
        <v>0.30952380952380948</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-0.23333333333333334</v>
      </c>
      <c r="I12" s="349">
        <f>IF(ISNUMBER((Tasas!C12-Datos!BE12)/Datos!BE12),(Tasas!C12-Datos!BE12)/Datos!BE12," - ")</f>
        <v>0.93167108258677078</v>
      </c>
      <c r="J12" s="348">
        <f>IF(ISNUMBER((Tasas!D12-Datos!BF12)/Datos!BF12),(Tasas!D12-Datos!BF12)/Datos!BF12," - ")</f>
        <v>-0.412609736632083</v>
      </c>
      <c r="K12" s="350">
        <f>IF(ISNUMBER((Tasas!E12-Datos!BG12)/Datos!BG12),(Tasas!E12-Datos!BG12)/Datos!BG12," - ")</f>
        <v>0.6736863501136412</v>
      </c>
      <c r="M12" t="e">
        <f>IF(Monitorios="SI",Datos!CE12,0)</f>
        <v>#REF!</v>
      </c>
      <c r="N12" t="e">
        <f>IF(Monitorios="SI",Datos!CF12,0)</f>
        <v>#REF!</v>
      </c>
      <c r="O12" t="e">
        <f>IF(Monitorios="SI",Datos!CG12,0)</f>
        <v>#REF!</v>
      </c>
      <c r="P12" t="e">
        <f>IF(Monitorios="SI",Datos!CH12,0)</f>
        <v>#REF!</v>
      </c>
      <c r="Q12">
        <f>IF(J_V="SI",0,Datos!AG12)</f>
        <v>31</v>
      </c>
      <c r="R12">
        <f>IF(J_V="SI",0,Datos!AH12)</f>
        <v>13</v>
      </c>
      <c r="S12">
        <f>IF(J_V="SI",0,Datos!AI12)</f>
        <v>5</v>
      </c>
      <c r="T12">
        <f>IF(J_V="SI",0,Datos!AJ12)</f>
        <v>38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-0.234375</v>
      </c>
      <c r="I13" s="356">
        <f>IF(ISNUMBER((Tasas!C13-Datos!BE13)/Datos!BE13),(Tasas!C13-Datos!BE13)/Datos!BE13," - ")</f>
        <v>0.91023829882151741</v>
      </c>
      <c r="J13" s="354">
        <f>IF(ISNUMBER((Tasas!D13-Datos!BF13)/Datos!BF13),(Tasas!D13-Datos!BF13)/Datos!BF13," - ")</f>
        <v>-0.40351571083278392</v>
      </c>
      <c r="K13" s="357">
        <f>IF(ISNUMBER((Tasas!E13-Datos!BG13)/Datos!BG13),(Tasas!E13-Datos!BG13)/Datos!BG13," - ")</f>
        <v>0.65722659989689969</v>
      </c>
      <c r="M13" t="e">
        <f>IF(Monitorios="SI",Datos!CE13,0)</f>
        <v>#REF!</v>
      </c>
      <c r="N13" t="e">
        <f>IF(Monitorios="SI",Datos!CF13,0)</f>
        <v>#REF!</v>
      </c>
      <c r="O13" t="e">
        <f>IF(Monitorios="SI",Datos!CG13,0)</f>
        <v>#REF!</v>
      </c>
      <c r="P13" t="e">
        <f>IF(Monitorios="SI",Datos!CH13,0)</f>
        <v>#REF!</v>
      </c>
      <c r="Q13">
        <f>IF(J_V="SI",0,Datos!AG13)</f>
        <v>31</v>
      </c>
      <c r="R13">
        <f>IF(J_V="SI",0,Datos!AH13)</f>
        <v>13</v>
      </c>
      <c r="S13">
        <f>IF(J_V="SI",0,Datos!AI13)</f>
        <v>5</v>
      </c>
      <c r="T13">
        <f>IF(J_V="SI",0,Datos!AJ13)</f>
        <v>38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0.3458498023715415</v>
      </c>
      <c r="E17" s="347">
        <f>IF(ISNUMBER(
   IF(D_I="SI",(Datos!J17-Datos!T17)/Datos!T17,(Datos!J17+Datos!AD17-(Datos!T17+Datos!AL17))/(Datos!T17+Datos!AL17))
     ),IF(D_I="SI",(Datos!J17-Datos!T17)/Datos!T17,(Datos!J17+Datos!AD17-(Datos!T17+Datos!AL17))/(Datos!T17+Datos!AL17))," - ")</f>
        <v>0.53150684931506853</v>
      </c>
      <c r="F17" s="347">
        <f>IF(ISNUMBER(
   IF(D_I="SI",(Datos!K17-Datos!U17)/Datos!U17,(Datos!K17+Datos!AE17-(Datos!U17+Datos!AM17))/(Datos!U17+Datos!AM17))
     ),IF(D_I="SI",(Datos!K17-Datos!U17)/Datos!U17,(Datos!K17+Datos!AE17-(Datos!U17+Datos!AM17))/(Datos!U17+Datos!AM17))," - ")</f>
        <v>0.2032967032967033</v>
      </c>
      <c r="G17" s="348">
        <f>IF(ISNUMBER(
   IF(D_I="SI",(Datos!L17-Datos!V17)/Datos!V17,(Datos!L17+Datos!AF17-(Datos!V17+Datos!AN17))/(Datos!V17+Datos!AN17))
     ),IF(D_I="SI",(Datos!L17-Datos!V17)/Datos!V17,(Datos!L17+Datos!AF17-(Datos!V17+Datos!AN17))/(Datos!V17+Datos!AN17))," - ")</f>
        <v>0.77582417582417584</v>
      </c>
      <c r="H17" s="229">
        <f>IF(ISNUMBER((Datos!M17-Datos!W17)/Datos!W17),(Datos!M17-Datos!W17)/Datos!W17," - ")</f>
        <v>-0.18421052631578946</v>
      </c>
      <c r="I17" s="349">
        <f>IF(ISNUMBER((Tasas!C17-Datos!BE17)/Datos!BE17),(Tasas!C17-Datos!BE17)/Datos!BE17," - ")</f>
        <v>0.47579908675799076</v>
      </c>
      <c r="J17" s="348">
        <f>IF(ISNUMBER((Tasas!D17-Datos!BF17)/Datos!BF17),(Tasas!D17-Datos!BF17)/Datos!BF17," - ")</f>
        <v>-0.32203797164143239</v>
      </c>
      <c r="K17" s="350">
        <f>IF(ISNUMBER((Tasas!E17-Datos!BG17)/Datos!BG17),(Tasas!E17-Datos!BG17)/Datos!BG17," - ")</f>
        <v>0.18312546854767264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0.25</v>
      </c>
      <c r="E18" s="347">
        <f>IF(ISNUMBER(
   IF(D_I="SI",(Datos!J18-Datos!T18)/Datos!T18,(Datos!J18+Datos!AD18-(Datos!T18+Datos!AL18))/(Datos!T18+Datos!AL18))
     ),IF(D_I="SI",(Datos!J18-Datos!T18)/Datos!T18,(Datos!J18+Datos!AD18-(Datos!T18+Datos!AL18))/(Datos!T18+Datos!AL18))," - ")</f>
        <v>0.4358974358974359</v>
      </c>
      <c r="F18" s="347">
        <f>IF(ISNUMBER(
   IF(D_I="SI",(Datos!K18-Datos!U18)/Datos!U18,(Datos!K18+Datos!AE18-(Datos!U18+Datos!AM18))/(Datos!U18+Datos!AM18))
     ),IF(D_I="SI",(Datos!K18-Datos!U18)/Datos!U18,(Datos!K18+Datos!AE18-(Datos!U18+Datos!AM18))/(Datos!U18+Datos!AM18))," - ")</f>
        <v>0.10526315789473684</v>
      </c>
      <c r="G18" s="348">
        <f>IF(ISNUMBER(
   IF(D_I="SI",(Datos!L18-Datos!V18)/Datos!V18,(Datos!L18+Datos!AF18-(Datos!V18+Datos!AN18))/(Datos!V18+Datos!AN18))
     ),IF(D_I="SI",(Datos!L18-Datos!V18)/Datos!V18,(Datos!L18+Datos!AF18-(Datos!V18+Datos!AN18))/(Datos!V18+Datos!AN18))," - ")</f>
        <v>0.53061224489795922</v>
      </c>
      <c r="H18" s="229">
        <f>IF(ISNUMBER((Datos!M18-Datos!W18)/Datos!W18),(Datos!M18-Datos!W18)/Datos!W18," - ")</f>
        <v>0</v>
      </c>
      <c r="I18" s="349">
        <f>IF(ISNUMBER((Tasas!C18-Datos!BE18)/Datos!BE18),(Tasas!C18-Datos!BE18)/Datos!BE18," - ")</f>
        <v>0.38483965014577265</v>
      </c>
      <c r="J18" s="348">
        <f>IF(ISNUMBER((Tasas!D18-Datos!BF18)/Datos!BF18),(Tasas!D18-Datos!BF18)/Datos!BF18," - ")</f>
        <v>-9.5238095238095233E-2</v>
      </c>
      <c r="K18" s="350">
        <f>IF(ISNUMBER((Tasas!E18-Datos!BG18)/Datos!BG18),(Tasas!E18-Datos!BG18)/Datos!BG18," - ")</f>
        <v>0.20634920634920645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0.33754512635379064</v>
      </c>
      <c r="E19" s="353">
        <f>IF(ISNUMBER(
   IF(D_I="SI",(Datos!J19-Datos!T19)/Datos!T19,(Datos!J19+Datos!AD19-(Datos!T19+Datos!AL19))/(Datos!T19+Datos!AL19))
     ),IF(D_I="SI",(Datos!J19-Datos!T19)/Datos!T19,(Datos!J19+Datos!AD19-(Datos!T19+Datos!AL19))/(Datos!T19+Datos!AL19))," - ")</f>
        <v>0.5222772277227723</v>
      </c>
      <c r="F19" s="353">
        <f>IF(ISNUMBER(
   IF(D_I="SI",(Datos!K19-Datos!U19)/Datos!U19,(Datos!K19+Datos!AE19-(Datos!U19+Datos!AM19))/(Datos!U19+Datos!AM19))
     ),IF(D_I="SI",(Datos!K19-Datos!U19)/Datos!U19,(Datos!K19+Datos!AE19-(Datos!U19+Datos!AM19))/(Datos!U19+Datos!AM19))," - ")</f>
        <v>0.19402985074626866</v>
      </c>
      <c r="G19" s="354">
        <f>IF(ISNUMBER(
   IF(D_I="SI",(Datos!L19-Datos!V19)/Datos!V19,(Datos!L19+Datos!AF19-(Datos!V19+Datos!AN19))/(Datos!V19+Datos!AN19))
     ),IF(D_I="SI",(Datos!L19-Datos!V19)/Datos!V19,(Datos!L19+Datos!AF19-(Datos!V19+Datos!AN19))/(Datos!V19+Datos!AN19))," - ")</f>
        <v>0.75198412698412698</v>
      </c>
      <c r="H19" s="355">
        <f>IF(ISNUMBER((Datos!M19-Datos!W19)/Datos!W19),(Datos!M19-Datos!W19)/Datos!W19," - ")</f>
        <v>-0.14583333333333334</v>
      </c>
      <c r="I19" s="356">
        <f>IF(ISNUMBER((Tasas!C19-Datos!BE19)/Datos!BE19),(Tasas!C19-Datos!BE19)/Datos!BE19," - ")</f>
        <v>0.46728670634920627</v>
      </c>
      <c r="J19" s="354">
        <f>IF(ISNUMBER((Tasas!D19-Datos!BF19)/Datos!BF19),(Tasas!D19-Datos!BF19)/Datos!BF19," - ")</f>
        <v>-0.28463541666666664</v>
      </c>
      <c r="K19" s="357">
        <f>IF(ISNUMBER((Tasas!E19-Datos!BG19)/Datos!BG19),(Tasas!E19-Datos!BG19)/Datos!BG19," - ")</f>
        <v>0.18543841336116912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0.38465665236051499</v>
      </c>
      <c r="E20" s="362">
        <f>IF(ISNUMBER(
   IF(J_V="SI",(Datos!J20-Datos!T20)/Datos!T20,(Datos!J20+Datos!Z20-(Datos!T20+Datos!AH20))/(Datos!T20+Datos!AH20))
     ),IF(J_V="SI",(Datos!J20-Datos!T20)/Datos!T20,(Datos!J20+Datos!Z20-(Datos!T20+Datos!AH20))/(Datos!T20+Datos!AH20))," - ")</f>
        <v>-0.13240043057050593</v>
      </c>
      <c r="F20" s="362">
        <f>IF(ISNUMBER(
   IF(J_V="SI",(Datos!K20-Datos!U20)/Datos!U20,(Datos!K20+Datos!AA20-(Datos!U20+Datos!AI20))/(Datos!U20+Datos!AI20))
     ),IF(J_V="SI",(Datos!K20-Datos!U20)/Datos!U20,(Datos!K20+Datos!AA20-(Datos!U20+Datos!AI20))/(Datos!U20+Datos!AI20))," - ")</f>
        <v>-2.0618556701030927E-2</v>
      </c>
      <c r="G20" s="363">
        <f>IF(ISNUMBER(
   IF(J_V="SI",(Datos!L20-Datos!V20)/Datos!V20,(Datos!L20+Datos!AB20-(Datos!V20+Datos!AJ20))/(Datos!V20+Datos!AJ20))
     ),IF(J_V="SI",(Datos!L20-Datos!V20)/Datos!V20,(Datos!L20+Datos!AB20-(Datos!V20+Datos!AJ20))/(Datos!V20+Datos!AJ20))," - ")</f>
        <v>0.39836567926455568</v>
      </c>
      <c r="H20" s="364">
        <f>IF(ISNUMBER((Datos!M20-Datos!W20)/Datos!W20),(Datos!M20-Datos!W20)/Datos!W20," - ")</f>
        <v>-0.19642857142857142</v>
      </c>
      <c r="I20" s="361">
        <f>IF(ISNUMBER((Tasas!C20-Datos!BE20)/Datos!BE20),(Tasas!C20-Datos!BE20)/Datos!BE20," - ")</f>
        <v>0.42780495672275692</v>
      </c>
      <c r="J20" s="362">
        <f>IF(ISNUMBER((Tasas!D20-Datos!BF20)/Datos!BF20),(Tasas!D20-Datos!BF20)/Datos!BF20," - ")</f>
        <v>-0.46260387811634351</v>
      </c>
      <c r="K20" s="363">
        <f>IF(ISNUMBER((Tasas!E20-Datos!BG20)/Datos!BG20),(Tasas!E20-Datos!BG20)/Datos!BG20," - ")</f>
        <v>0.23820453389111901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0.11743758505100589</v>
      </c>
      <c r="E22" s="277">
        <f t="shared" si="1"/>
        <v>0.13383607914480344</v>
      </c>
      <c r="F22" s="277">
        <f t="shared" si="1"/>
        <v>4.7079327139489612E-2</v>
      </c>
      <c r="G22" s="278">
        <f t="shared" si="1"/>
        <v>0.11040677800166748</v>
      </c>
      <c r="H22" s="284">
        <f t="shared" si="1"/>
        <v>9.392854149423524E-2</v>
      </c>
      <c r="I22" s="276">
        <f t="shared" si="1"/>
        <v>0.25417706831625075</v>
      </c>
      <c r="J22" s="277">
        <f t="shared" si="1"/>
        <v>0.11851412602867495</v>
      </c>
      <c r="K22" s="278">
        <f t="shared" si="1"/>
        <v>0.23415590387302626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ZPCDf/nycO6o89ApBbBoUiwl6HmmXOG+7GBEYT/VurEM+5SS6y4rAj8xa0cQxGwbObEgjmRaVdPQvj3y0nAivA==" saltValue="1jipq7V3OYb245rMm2jbL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REGION DE MURCIA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26</v>
      </c>
      <c r="D10" s="224">
        <f>IF(ISNUMBER(Datos!I10),Datos!I10," - ")</f>
        <v>26</v>
      </c>
      <c r="E10" s="225">
        <f>IF(ISNUMBER(Datos!J10),Datos!J10," - ")</f>
        <v>7</v>
      </c>
      <c r="F10" s="225">
        <f>IF(ISNUMBER(Datos!K10),Datos!K10," - ")</f>
        <v>6</v>
      </c>
      <c r="G10" s="1029" t="str">
        <f>IF(Datos!E10&lt;&gt;"",Datos!E10,Datos!D10)</f>
        <v>37</v>
      </c>
      <c r="H10" s="226">
        <f>IF(ISNUMBER(Datos!L10),Datos!L10," - ")</f>
        <v>27</v>
      </c>
      <c r="I10" s="1039" t="str">
        <f>IF(ISNUMBER(Datos!AS10/Datos!BM10),Datos!AS10/Datos!BM10," - ")</f>
        <v xml:space="preserve"> - </v>
      </c>
      <c r="J10" s="1040">
        <f>IF(ISNUMBER(Datos!BY10/Datos!CN10),Datos!BY10/Datos!CN10," - ")</f>
        <v>0</v>
      </c>
      <c r="K10" s="229">
        <f t="shared" ref="K10:K12" si="1">IF(ISNUMBER((E10-F10)/C10),(E10-F10)/C10," - ")</f>
        <v>3.8461538461538464E-2</v>
      </c>
      <c r="L10" s="1020">
        <f>IF(ISNUMBER(NºAsuntos!I10/NºAsuntos!G10),(NºAsuntos!I10/NºAsuntos!G10)*11," - ")</f>
        <v>49.5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112.33519553072625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26</v>
      </c>
      <c r="D13" s="1044">
        <f>SUBTOTAL(9,D9:D12)</f>
        <v>26</v>
      </c>
      <c r="E13" s="1045">
        <f>SUBTOTAL(9,E9:E12)</f>
        <v>7</v>
      </c>
      <c r="F13" s="1046">
        <f>SUBTOTAL(9,F9:F12)</f>
        <v>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687</v>
      </c>
      <c r="D17" s="224">
        <f>IF(ISNUMBER(IF(D_I="SI",Datos!I17,Datos!I17+Datos!AC17)),IF(D_I="SI",Datos!I17,Datos!I17+Datos!AC17)," - ")</f>
        <v>681</v>
      </c>
      <c r="E17" s="225">
        <f>IF(ISNUMBER(IF(D_I="SI",Datos!J17,Datos!J17+Datos!AD17)),IF(D_I="SI",Datos!J17,Datos!J17+Datos!AD17)," - ")</f>
        <v>559</v>
      </c>
      <c r="F17" s="225">
        <f>IF(ISNUMBER(IF(D_I="SI",Datos!K17,Datos!K17+Datos!AE17)),IF(D_I="SI",Datos!K17,Datos!K17+Datos!AE17)," - ")</f>
        <v>438</v>
      </c>
      <c r="G17" s="1029" t="str">
        <f>IF(Datos!E17&lt;&gt;"",Datos!E17,Datos!D17)</f>
        <v>04</v>
      </c>
      <c r="H17" s="226">
        <f>IF(ISNUMBER(IF(D_I="SI",Datos!L17,Datos!L17+Datos!AF17)),IF(D_I="SI",Datos!L17,Datos!L17+Datos!AF17)," - ")</f>
        <v>808</v>
      </c>
      <c r="I17" s="1039" t="str">
        <f>IF(ISNUMBER(Datos!AS17/Datos!BM17),Datos!AS17/Datos!BM17," - ")</f>
        <v xml:space="preserve"> - </v>
      </c>
      <c r="J17" s="1040">
        <f>IF(ISNUMBER(Datos!BY17/Datos!CN17),Datos!BY17/Datos!CN17," - ")</f>
        <v>0</v>
      </c>
      <c r="K17" s="229">
        <f t="shared" si="3"/>
        <v>0.17612809315866085</v>
      </c>
      <c r="L17" s="1020">
        <f>IF(ISNUMBER(NºAsuntos!I17/NºAsuntos!G17),(NºAsuntos!I17/NºAsuntos!G17)*11," - ")</f>
        <v>20.292237442922374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61</v>
      </c>
      <c r="D18" s="224">
        <f>IF(ISNUMBER(IF(D_I="SI",Datos!I18,Datos!I18+Datos!AC18)),IF(D_I="SI",Datos!I18,Datos!I18+Datos!AC18)," - ")</f>
        <v>60</v>
      </c>
      <c r="E18" s="225">
        <f>IF(ISNUMBER(IF(D_I="SI",Datos!J18,Datos!J18+Datos!AD18)),IF(D_I="SI",Datos!J18,Datos!J18+Datos!AD18)," - ")</f>
        <v>56</v>
      </c>
      <c r="F18" s="225">
        <f>IF(ISNUMBER(IF(D_I="SI",Datos!K18,Datos!K18+Datos!AE18)),IF(D_I="SI",Datos!K18,Datos!K18+Datos!AE18)," - ")</f>
        <v>42</v>
      </c>
      <c r="G18" s="1029" t="str">
        <f>IF(Datos!E18&lt;&gt;"",Datos!E18,Datos!D18)</f>
        <v>37</v>
      </c>
      <c r="H18" s="226">
        <f>IF(ISNUMBER(IF(D_I="SI",Datos!L18,Datos!L18+Datos!AF18)),IF(D_I="SI",Datos!L18,Datos!L18+Datos!AF18)," - ")</f>
        <v>75</v>
      </c>
      <c r="I18" s="1039" t="str">
        <f>IF(ISNUMBER(Datos!AS18/Datos!BM18),Datos!AS18/Datos!BM18," - ")</f>
        <v xml:space="preserve"> - </v>
      </c>
      <c r="J18" s="1040" t="str">
        <f>IF(ISNUMBER((Datos!BY18+Datos!BZ18)/Datos!CN18),(Datos!BY18+Datos!BZ18)/Datos!CN18," - ")</f>
        <v xml:space="preserve"> - </v>
      </c>
      <c r="K18" s="229">
        <f t="shared" si="3"/>
        <v>0.22950819672131148</v>
      </c>
      <c r="L18" s="1020">
        <f>IF(ISNUMBER(NºAsuntos!I18/NºAsuntos!G18),(NºAsuntos!I18/NºAsuntos!G18)*11," - ")</f>
        <v>19.642857142857142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748</v>
      </c>
      <c r="D19" s="1044">
        <f>SUBTOTAL(9,D15:D18)</f>
        <v>741</v>
      </c>
      <c r="E19" s="1045">
        <f>SUBTOTAL(9,E15:E18)</f>
        <v>615</v>
      </c>
      <c r="F19" s="1045">
        <f>SUBTOTAL(9,F15:F18)</f>
        <v>480</v>
      </c>
      <c r="G19" s="1047" t="str">
        <f ca="1">INDIRECT(CONCATENATE("G",ROW()-1))</f>
        <v>37</v>
      </c>
      <c r="H19" s="1048">
        <f ca="1">SUMIF(G$14:G18,G19,H$14:H18)</f>
        <v>75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774</v>
      </c>
      <c r="D20" s="1066">
        <f>SUBTOTAL(9,D9:D19)</f>
        <v>767</v>
      </c>
      <c r="E20" s="1067">
        <f>SUBTOTAL(9,E9:E19)</f>
        <v>622</v>
      </c>
      <c r="F20" s="1067">
        <f>SUBTOTAL(9,F9:F19)</f>
        <v>486</v>
      </c>
      <c r="G20" s="1068"/>
      <c r="H20" s="1069">
        <f ca="1">SUMIF(B9:B19,"TOTAL",H9:H19)</f>
        <v>75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NBBuYijHvqS/V+v8WehIoSrLdf6ybmfwT0qtmW9374/os/NrCcn7RwJmZLyYiAAU1dLnwi1S9HaSIVUovnZKxQ==" saltValue="X8QdxtK5ISaqk6SQtjg+w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wmtQxIoYzomVqfkKE9qtEfupx8YfnLcgnfPeTxq5Lq1RpBhHsb4n9L2crsFUbsIu4zrRU1O2nB5mXiJTF5pEdA==" saltValue="+61XA8ENMazVaN8swnxay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26</v>
      </c>
      <c r="J10" s="180">
        <v>7</v>
      </c>
      <c r="K10" s="180">
        <v>6</v>
      </c>
      <c r="L10" s="180">
        <v>27</v>
      </c>
      <c r="M10" s="180">
        <v>3</v>
      </c>
      <c r="N10" s="180">
        <v>2</v>
      </c>
      <c r="O10" s="180">
        <v>0</v>
      </c>
      <c r="P10" s="180">
        <v>0</v>
      </c>
      <c r="Q10" s="180">
        <v>0</v>
      </c>
      <c r="R10" s="180">
        <v>2</v>
      </c>
      <c r="S10" s="180">
        <v>17</v>
      </c>
      <c r="T10" s="180">
        <v>4</v>
      </c>
      <c r="U10" s="180">
        <v>5</v>
      </c>
      <c r="V10" s="180">
        <v>16</v>
      </c>
      <c r="W10" s="180">
        <v>4</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17</v>
      </c>
      <c r="AZ10" s="129">
        <f t="shared" si="0"/>
        <v>4</v>
      </c>
      <c r="BA10" s="129">
        <f t="shared" si="0"/>
        <v>5</v>
      </c>
      <c r="BB10" s="129">
        <f t="shared" si="0"/>
        <v>16</v>
      </c>
      <c r="BC10" s="125">
        <f t="shared" si="0"/>
        <v>4</v>
      </c>
      <c r="BD10" s="126">
        <f>IF(ISNUMBER(BA10/AZ10),BA10/AZ10," - ")</f>
        <v>1.25</v>
      </c>
      <c r="BE10" s="127">
        <f>IF(ISNUMBER(BB10/BA10),BB10/BA10, " - ")</f>
        <v>3.2</v>
      </c>
      <c r="BF10" s="127">
        <f>IF(ISNUMBER(BC10/BA10),BC10/BA10, " - ")</f>
        <v>0.8</v>
      </c>
      <c r="BG10" s="195">
        <f>IF(ISNUMBER((AY10+AZ10)/BA10),(AY10+AZ10)/BA10," - ")</f>
        <v>4.2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1769</v>
      </c>
      <c r="J12" s="182">
        <v>174</v>
      </c>
      <c r="K12" s="182">
        <v>151</v>
      </c>
      <c r="L12" s="182">
        <v>1800</v>
      </c>
      <c r="M12" s="182">
        <v>46</v>
      </c>
      <c r="N12" s="182">
        <v>78</v>
      </c>
      <c r="O12" s="180">
        <v>80</v>
      </c>
      <c r="P12" s="182">
        <v>66</v>
      </c>
      <c r="Q12" s="182">
        <v>38</v>
      </c>
      <c r="R12" s="182">
        <v>1732</v>
      </c>
      <c r="S12" s="182">
        <v>1262</v>
      </c>
      <c r="T12" s="182">
        <v>508</v>
      </c>
      <c r="U12" s="182">
        <v>267</v>
      </c>
      <c r="V12" s="182">
        <v>1400</v>
      </c>
      <c r="W12" s="182">
        <v>60</v>
      </c>
      <c r="X12" s="188">
        <v>119</v>
      </c>
      <c r="Y12" s="190">
        <v>45</v>
      </c>
      <c r="Z12" s="180">
        <v>10</v>
      </c>
      <c r="AA12" s="180">
        <v>28</v>
      </c>
      <c r="AB12" s="180">
        <v>28</v>
      </c>
      <c r="AC12" s="182">
        <v>0</v>
      </c>
      <c r="AD12" s="182">
        <v>0</v>
      </c>
      <c r="AE12" s="182">
        <v>0</v>
      </c>
      <c r="AF12" s="188">
        <v>0</v>
      </c>
      <c r="AG12" s="201">
        <v>31</v>
      </c>
      <c r="AH12" s="182">
        <v>13</v>
      </c>
      <c r="AI12" s="182">
        <v>5</v>
      </c>
      <c r="AJ12" s="202">
        <v>38</v>
      </c>
      <c r="AK12" s="181">
        <v>0</v>
      </c>
      <c r="AL12" s="182">
        <v>0</v>
      </c>
      <c r="AM12" s="182">
        <v>0</v>
      </c>
      <c r="AN12" s="188">
        <v>0</v>
      </c>
      <c r="AO12" s="258">
        <v>2</v>
      </c>
      <c r="AP12" s="154">
        <v>2</v>
      </c>
      <c r="AQ12" s="154">
        <v>2</v>
      </c>
      <c r="AR12" s="153">
        <v>2</v>
      </c>
      <c r="AS12" s="339" t="s">
        <v>766</v>
      </c>
      <c r="AT12" s="202"/>
      <c r="AU12" s="201"/>
      <c r="AV12" s="202"/>
      <c r="AW12" s="201"/>
      <c r="AX12" s="202"/>
      <c r="AY12" s="126">
        <f t="shared" si="1"/>
        <v>1293</v>
      </c>
      <c r="AZ12" s="127">
        <f t="shared" si="1"/>
        <v>521</v>
      </c>
      <c r="BA12" s="127">
        <f t="shared" si="1"/>
        <v>272</v>
      </c>
      <c r="BB12" s="127">
        <f t="shared" si="1"/>
        <v>1438</v>
      </c>
      <c r="BC12" s="125">
        <f>IF(ISNUMBER(X12),X12," - ")</f>
        <v>119</v>
      </c>
      <c r="BD12" s="126">
        <f t="shared" si="2"/>
        <v>0.52207293666026866</v>
      </c>
      <c r="BE12" s="127">
        <f t="shared" si="3"/>
        <v>5.2867647058823533</v>
      </c>
      <c r="BF12" s="127">
        <f t="shared" si="4"/>
        <v>0.4375</v>
      </c>
      <c r="BG12" s="195">
        <f t="shared" si="5"/>
        <v>6.6691176470588234</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1795</v>
      </c>
      <c r="J13" s="183">
        <f t="shared" si="6"/>
        <v>181</v>
      </c>
      <c r="K13" s="183">
        <f t="shared" si="6"/>
        <v>157</v>
      </c>
      <c r="L13" s="183">
        <f t="shared" si="6"/>
        <v>1827</v>
      </c>
      <c r="M13" s="183">
        <f t="shared" si="6"/>
        <v>49</v>
      </c>
      <c r="N13" s="183">
        <f t="shared" si="6"/>
        <v>80</v>
      </c>
      <c r="O13" s="183">
        <f t="shared" si="6"/>
        <v>80</v>
      </c>
      <c r="P13" s="183">
        <f t="shared" si="6"/>
        <v>66</v>
      </c>
      <c r="Q13" s="183">
        <f t="shared" si="6"/>
        <v>38</v>
      </c>
      <c r="R13" s="183">
        <f t="shared" si="6"/>
        <v>1734</v>
      </c>
      <c r="S13" s="183">
        <f t="shared" si="6"/>
        <v>1279</v>
      </c>
      <c r="T13" s="183">
        <f t="shared" si="6"/>
        <v>512</v>
      </c>
      <c r="U13" s="183">
        <f t="shared" si="6"/>
        <v>272</v>
      </c>
      <c r="V13" s="183">
        <f t="shared" si="6"/>
        <v>1416</v>
      </c>
      <c r="W13" s="183">
        <f t="shared" si="6"/>
        <v>64</v>
      </c>
      <c r="X13" s="183">
        <f t="shared" si="6"/>
        <v>119</v>
      </c>
      <c r="Y13" s="183">
        <f t="shared" si="6"/>
        <v>45</v>
      </c>
      <c r="Z13" s="183">
        <f t="shared" si="6"/>
        <v>10</v>
      </c>
      <c r="AA13" s="183">
        <f t="shared" si="6"/>
        <v>28</v>
      </c>
      <c r="AB13" s="183">
        <f t="shared" si="6"/>
        <v>28</v>
      </c>
      <c r="AC13" s="183">
        <f t="shared" si="6"/>
        <v>0</v>
      </c>
      <c r="AD13" s="183">
        <f t="shared" si="6"/>
        <v>0</v>
      </c>
      <c r="AE13" s="183">
        <f t="shared" si="6"/>
        <v>0</v>
      </c>
      <c r="AF13" s="183">
        <f>SUBTOTAL(9,AF9:AF12)</f>
        <v>0</v>
      </c>
      <c r="AG13" s="183">
        <f t="shared" ref="AG13:AT13" si="7">SUBTOTAL(9,AG8:AG12)</f>
        <v>31</v>
      </c>
      <c r="AH13" s="183">
        <f t="shared" si="7"/>
        <v>13</v>
      </c>
      <c r="AI13" s="183">
        <f t="shared" si="7"/>
        <v>5</v>
      </c>
      <c r="AJ13" s="183">
        <f t="shared" si="7"/>
        <v>38</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1310</v>
      </c>
      <c r="AZ13" s="183">
        <f>SUBTOTAL(9,AZ8:AZ12)</f>
        <v>525</v>
      </c>
      <c r="BA13" s="183">
        <f>SUBTOTAL(9,BA8:BA12)</f>
        <v>277</v>
      </c>
      <c r="BB13" s="183">
        <f>SUBTOTAL(9,BB8:BB12)</f>
        <v>1454</v>
      </c>
      <c r="BC13" s="183">
        <f>SUBTOTAL(9,BC8:BC12)</f>
        <v>123</v>
      </c>
      <c r="BD13" s="204">
        <f>IF(ISNUMBER(BA13/AZ13),BA13/AZ13," - ")</f>
        <v>0.52761904761904765</v>
      </c>
      <c r="BE13" s="205">
        <f>IF(ISNUMBER(BB13/BA13),BB13/BA13, " - ")</f>
        <v>5.2490974729241877</v>
      </c>
      <c r="BF13" s="205">
        <f>IF(ISNUMBER(BC13/BA13),BC13/BA13, " - ")</f>
        <v>0.44404332129963897</v>
      </c>
      <c r="BG13" s="206">
        <f>IF(ISNUMBER((AY13+AZ13)/BA13),(AY13+AZ13)/BA13," - ")</f>
        <v>6.6245487364620939</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681</v>
      </c>
      <c r="J17" s="182">
        <v>559</v>
      </c>
      <c r="K17" s="182">
        <v>438</v>
      </c>
      <c r="L17" s="182">
        <v>808</v>
      </c>
      <c r="M17" s="182">
        <v>31</v>
      </c>
      <c r="N17" s="182">
        <v>328</v>
      </c>
      <c r="O17" s="180">
        <v>1</v>
      </c>
      <c r="P17" s="182">
        <v>2</v>
      </c>
      <c r="Q17" s="182">
        <v>2</v>
      </c>
      <c r="R17" s="182">
        <v>88</v>
      </c>
      <c r="S17" s="182">
        <v>506</v>
      </c>
      <c r="T17" s="182">
        <v>365</v>
      </c>
      <c r="U17" s="182">
        <v>364</v>
      </c>
      <c r="V17" s="182">
        <v>455</v>
      </c>
      <c r="W17" s="182">
        <v>38</v>
      </c>
      <c r="X17" s="188">
        <v>259</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506</v>
      </c>
      <c r="AZ17" s="127">
        <f t="shared" si="9"/>
        <v>365</v>
      </c>
      <c r="BA17" s="127">
        <f t="shared" si="9"/>
        <v>364</v>
      </c>
      <c r="BB17" s="127">
        <f t="shared" si="9"/>
        <v>455</v>
      </c>
      <c r="BC17" s="125">
        <f>IF(ISNUMBER(W17),W17," - ")</f>
        <v>38</v>
      </c>
      <c r="BD17" s="126">
        <f t="shared" ref="BD17" si="16">IF(ISNUMBER(BA17/AZ17),BA17/AZ17," - ")</f>
        <v>0.99726027397260275</v>
      </c>
      <c r="BE17" s="127">
        <f t="shared" ref="BE17" si="17">IF(ISNUMBER(BB17/BA17),BB17/BA17, " - ")</f>
        <v>1.25</v>
      </c>
      <c r="BF17" s="127">
        <f t="shared" ref="BF17" si="18">IF(ISNUMBER(BC17/BA17),BC17/BA17, " - ")</f>
        <v>0.1043956043956044</v>
      </c>
      <c r="BG17" s="195">
        <f t="shared" si="10"/>
        <v>2.3928571428571428</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60</v>
      </c>
      <c r="J18" s="182">
        <v>56</v>
      </c>
      <c r="K18" s="182">
        <v>42</v>
      </c>
      <c r="L18" s="182">
        <v>75</v>
      </c>
      <c r="M18" s="182">
        <v>10</v>
      </c>
      <c r="N18" s="182">
        <v>29</v>
      </c>
      <c r="O18" s="182">
        <v>0</v>
      </c>
      <c r="P18" s="182">
        <v>0</v>
      </c>
      <c r="Q18" s="182">
        <v>0</v>
      </c>
      <c r="R18" s="182">
        <v>1</v>
      </c>
      <c r="S18" s="182">
        <v>48</v>
      </c>
      <c r="T18" s="182">
        <v>39</v>
      </c>
      <c r="U18" s="182">
        <v>38</v>
      </c>
      <c r="V18" s="182">
        <v>49</v>
      </c>
      <c r="W18" s="182">
        <v>10</v>
      </c>
      <c r="X18" s="188">
        <v>17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48</v>
      </c>
      <c r="AZ18" s="129">
        <f t="shared" si="19"/>
        <v>39</v>
      </c>
      <c r="BA18" s="129">
        <f t="shared" si="19"/>
        <v>38</v>
      </c>
      <c r="BB18" s="129">
        <f t="shared" si="19"/>
        <v>49</v>
      </c>
      <c r="BC18" s="125">
        <f>IF(ISNUMBER(W18),W18," - ")</f>
        <v>10</v>
      </c>
      <c r="BD18" s="126">
        <f>IF(ISNUMBER(BA18/AZ18),BA18/AZ18," - ")</f>
        <v>0.97435897435897434</v>
      </c>
      <c r="BE18" s="127">
        <f>IF(ISNUMBER(BB18/BA18),BB18/BA18, " - ")</f>
        <v>1.2894736842105263</v>
      </c>
      <c r="BF18" s="127">
        <f>IF(ISNUMBER(BC18/BA18),BC18/BA18, " - ")</f>
        <v>0.26315789473684209</v>
      </c>
      <c r="BG18" s="195">
        <f>IF(ISNUMBER((AY18+AZ18)/BA18),(AY18+AZ18)/BA18," - ")</f>
        <v>2.2894736842105261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741</v>
      </c>
      <c r="J19" s="183">
        <f t="shared" si="20"/>
        <v>615</v>
      </c>
      <c r="K19" s="183">
        <f t="shared" si="20"/>
        <v>480</v>
      </c>
      <c r="L19" s="183">
        <f t="shared" si="20"/>
        <v>883</v>
      </c>
      <c r="M19" s="183">
        <f t="shared" si="20"/>
        <v>41</v>
      </c>
      <c r="N19" s="183">
        <f t="shared" si="20"/>
        <v>357</v>
      </c>
      <c r="O19" s="183">
        <f t="shared" si="20"/>
        <v>1</v>
      </c>
      <c r="P19" s="183">
        <f t="shared" si="20"/>
        <v>2</v>
      </c>
      <c r="Q19" s="183">
        <f t="shared" si="20"/>
        <v>2</v>
      </c>
      <c r="R19" s="183">
        <f t="shared" si="20"/>
        <v>89</v>
      </c>
      <c r="S19" s="183">
        <f t="shared" si="20"/>
        <v>554</v>
      </c>
      <c r="T19" s="183">
        <f t="shared" si="20"/>
        <v>404</v>
      </c>
      <c r="U19" s="183">
        <f t="shared" si="20"/>
        <v>402</v>
      </c>
      <c r="V19" s="183">
        <f t="shared" si="20"/>
        <v>504</v>
      </c>
      <c r="W19" s="183">
        <f t="shared" si="20"/>
        <v>48</v>
      </c>
      <c r="X19" s="183">
        <f t="shared" si="20"/>
        <v>276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554</v>
      </c>
      <c r="AZ19" s="183">
        <f>SUBTOTAL(9,AZ14:AZ18)</f>
        <v>404</v>
      </c>
      <c r="BA19" s="183">
        <f>SUBTOTAL(9,BA14:BA18)</f>
        <v>402</v>
      </c>
      <c r="BB19" s="183">
        <f>SUBTOTAL(9,BB14:BB18)</f>
        <v>504</v>
      </c>
      <c r="BC19" s="183">
        <f>SUBTOTAL(9,BC14:BC18)</f>
        <v>48</v>
      </c>
      <c r="BD19" s="204">
        <f>IF(ISNUMBER(BA19/AZ19),BA19/AZ19," - ")</f>
        <v>0.99504950495049505</v>
      </c>
      <c r="BE19" s="205">
        <f>IF(ISNUMBER(BB19/BA19),BB19/BA19, " - ")</f>
        <v>1.2537313432835822</v>
      </c>
      <c r="BF19" s="205">
        <f>IF(ISNUMBER(BC19/BA19),BC19/BA19, " - ")</f>
        <v>0.11940298507462686</v>
      </c>
      <c r="BG19" s="206">
        <f>IF(ISNUMBER((AY19+AZ19)/BA19),(AY19+AZ19)/BA19," - ")</f>
        <v>2.383084577114428</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2536</v>
      </c>
      <c r="J20" s="134">
        <f t="shared" si="23"/>
        <v>796</v>
      </c>
      <c r="K20" s="134">
        <f t="shared" si="23"/>
        <v>637</v>
      </c>
      <c r="L20" s="134">
        <f t="shared" si="23"/>
        <v>2710</v>
      </c>
      <c r="M20" s="134">
        <f t="shared" si="23"/>
        <v>90</v>
      </c>
      <c r="N20" s="134">
        <f t="shared" si="23"/>
        <v>437</v>
      </c>
      <c r="O20" s="134">
        <f t="shared" si="23"/>
        <v>81</v>
      </c>
      <c r="P20" s="134">
        <f t="shared" si="23"/>
        <v>68</v>
      </c>
      <c r="Q20" s="134">
        <f t="shared" si="23"/>
        <v>40</v>
      </c>
      <c r="R20" s="134">
        <f t="shared" si="23"/>
        <v>1823</v>
      </c>
      <c r="S20" s="134">
        <f t="shared" si="23"/>
        <v>1833</v>
      </c>
      <c r="T20" s="134">
        <f t="shared" si="23"/>
        <v>916</v>
      </c>
      <c r="U20" s="134">
        <f t="shared" si="23"/>
        <v>674</v>
      </c>
      <c r="V20" s="134">
        <f t="shared" si="23"/>
        <v>1920</v>
      </c>
      <c r="W20" s="134">
        <f t="shared" si="23"/>
        <v>112</v>
      </c>
      <c r="X20" s="134">
        <f t="shared" si="23"/>
        <v>395</v>
      </c>
      <c r="Y20" s="134">
        <f t="shared" si="23"/>
        <v>45</v>
      </c>
      <c r="Z20" s="134">
        <f t="shared" si="23"/>
        <v>10</v>
      </c>
      <c r="AA20" s="134">
        <f t="shared" si="23"/>
        <v>28</v>
      </c>
      <c r="AB20" s="134">
        <f t="shared" si="23"/>
        <v>28</v>
      </c>
      <c r="AC20" s="134">
        <f t="shared" si="23"/>
        <v>0</v>
      </c>
      <c r="AD20" s="134">
        <f t="shared" si="23"/>
        <v>0</v>
      </c>
      <c r="AE20" s="134">
        <f t="shared" si="23"/>
        <v>0</v>
      </c>
      <c r="AF20" s="134">
        <f t="shared" si="23"/>
        <v>0</v>
      </c>
      <c r="AG20" s="134">
        <f t="shared" si="23"/>
        <v>31</v>
      </c>
      <c r="AH20" s="134">
        <f t="shared" si="23"/>
        <v>13</v>
      </c>
      <c r="AI20" s="134">
        <f t="shared" si="23"/>
        <v>5</v>
      </c>
      <c r="AJ20" s="134">
        <f t="shared" si="23"/>
        <v>38</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1864</v>
      </c>
      <c r="AZ20" s="134">
        <f>SUBTOTAL(9,AZ9:AZ19)</f>
        <v>929</v>
      </c>
      <c r="BA20" s="134">
        <f>SUBTOTAL(9,BA9:BA19)</f>
        <v>679</v>
      </c>
      <c r="BB20" s="134">
        <f>SUBTOTAL(9,BB9:BB19)</f>
        <v>1958</v>
      </c>
      <c r="BC20" s="135">
        <f>SUBTOTAL(9,BC9:BC19)</f>
        <v>171</v>
      </c>
      <c r="BD20" s="212">
        <f>IF(ISNUMBER(BA20/AZ20),BA20/AZ20," - ")</f>
        <v>0.73089343379978466</v>
      </c>
      <c r="BE20" s="209">
        <f>IF(ISNUMBER(BB20/BA20),BB20/BA20, " - ")</f>
        <v>2.8836524300441826</v>
      </c>
      <c r="BF20" s="209">
        <f>IF(ISNUMBER(BC20/BA20),BC20/BA20, " - ")</f>
        <v>0.25184094256259204</v>
      </c>
      <c r="BG20" s="135">
        <f>IF(ISNUMBER((AY20+AZ20)/BA20),(AY20+AZ20)/BA20," - ")</f>
        <v>4.1134020618556697</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nNSAqbI5XaGnWiJmdTkNGFo6m+PadOsjqj55+nWirPbY1rYnitekAtOT3RAvFI6NmUX1avyArVBKFu0fVp16Q==" saltValue="6W+Y4yP+JdNQKHCLkrYin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JIEjGSZoo4M5nXVK7d2Pg20gHfx3Qv7UvLZAbWQBurNfMDBEKLPx7tw/SGAwWRQGF/Qb7mktqYFmdOo27v2A==" saltValue="m+K5aqV6fkyOV93VUXkdr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REGION DE MURCIA</v>
      </c>
    </row>
    <row r="2" spans="1:78" ht="16.5" customHeight="1">
      <c r="C2" s="487" t="str">
        <f>Criterios!A10 &amp;"  "&amp;Criterios!B10 &amp; "  " &amp; IF(NOT(ISBLANK(Criterios!A11)),Criterios!A11 &amp;"  "&amp;Criterios!B11,"")</f>
        <v>Provincias  MURCIA  Resumenes por Partidos Judiciales  YECLA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26</v>
      </c>
      <c r="G10" s="332">
        <f>IF(ISNUMBER(Datos!I10),Datos!I10," - ")</f>
        <v>26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6</v>
      </c>
      <c r="AC10" s="225">
        <f>IF(ISNUMBER(Datos!Q10),Datos!Q10," - ")</f>
        <v>0</v>
      </c>
      <c r="AD10" s="333"/>
      <c r="AE10" s="483"/>
      <c r="AF10" s="331">
        <f>IF(ISNUMBER(Datos!L10),Datos!L10,"-")</f>
        <v>27</v>
      </c>
      <c r="AG10" s="333"/>
      <c r="AH10" s="333"/>
      <c r="AI10" s="333"/>
      <c r="AJ10" s="333"/>
      <c r="AK10" s="333"/>
      <c r="AL10" s="478"/>
      <c r="AM10" s="334">
        <f>IF(ISNUMBER(Datos!R10),Datos!R10," - ")</f>
        <v>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v>
      </c>
      <c r="BD10" s="228">
        <f>IF(ISNUMBER(Datos!N10),Datos!N10," - ")</f>
        <v>2</v>
      </c>
      <c r="BE10" s="228" t="str">
        <f>IF(ISNUMBER(Datos!BW10),Datos!BW10," - ")</f>
        <v xml:space="preserve"> - </v>
      </c>
      <c r="BF10" s="227" t="str">
        <f>IF(ISNUMBER(Datos!BX10),Datos!BX10," - ")</f>
        <v xml:space="preserve"> - </v>
      </c>
      <c r="BG10" s="242">
        <f>IF(ISNUMBER(Datos!K10/Datos!J10),Datos!K10/Datos!J10," - ")</f>
        <v>0.8571428571428571</v>
      </c>
      <c r="BH10" s="259">
        <f>IF(ISNUMBER(((Datos!L10/Datos!K10)*11)/factor_trimestre),((Datos!L10/Datos!K10)*11)/factor_trimestre," - ")</f>
        <v>13.5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v>
      </c>
      <c r="O12" s="333"/>
      <c r="P12" s="333"/>
      <c r="Q12" s="225">
        <f>IF(ISNUMBER(Datos!P12),Datos!P12,0)</f>
        <v>66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28</v>
      </c>
      <c r="AI12" s="333" t="str">
        <f>IF(ISNUMBER(Datos!CD12),Datos!CD12,"-")</f>
        <v>-</v>
      </c>
      <c r="AJ12" s="333" t="str">
        <f>IF(ISNUMBER(Datos!EN12),Datos!EN12," - ")</f>
        <v xml:space="preserve"> - </v>
      </c>
      <c r="AK12" s="333"/>
      <c r="AL12" s="478"/>
      <c r="AM12" s="334">
        <f>IF(ISNUMBER(Datos!R12),Datos!R12," - ")</f>
        <v>1732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46</v>
      </c>
      <c r="BD12" s="228">
        <f>IF(ISNUMBER(Datos!N12),Datos!N12," - ")</f>
        <v>78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0.97282608695652173</v>
      </c>
      <c r="BH12" s="259">
        <f>IF(ISNUMBER(((IF(J_V="SI",Datos!L12/Datos!K12,(Datos!L12+Datos!AB12)/(Datos!K12+Datos!AA12)))*11)/factor_trimestre),((IF(J_V="SI",Datos!L12/Datos!K12,(Datos!L12+Datos!AB12)/(Datos!K12+Datos!AA12)))*11)/factor_trimestre," - ")</f>
        <v>30.636871508379887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1.6431924882629109E-2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26</v>
      </c>
      <c r="G13" s="895">
        <f t="shared" si="0"/>
        <v>26</v>
      </c>
      <c r="H13" s="896">
        <f t="shared" si="0"/>
        <v>0</v>
      </c>
      <c r="I13" s="895">
        <f t="shared" si="0"/>
        <v>0</v>
      </c>
      <c r="J13" s="864">
        <f t="shared" si="0"/>
        <v>0</v>
      </c>
      <c r="K13" s="864">
        <f t="shared" si="0"/>
        <v>0</v>
      </c>
      <c r="L13" s="896">
        <f t="shared" si="0"/>
        <v>0</v>
      </c>
      <c r="M13" s="896">
        <f t="shared" si="0"/>
        <v>0</v>
      </c>
      <c r="N13" s="896">
        <f t="shared" si="0"/>
        <v>10</v>
      </c>
      <c r="O13" s="897">
        <f t="shared" si="0"/>
        <v>0</v>
      </c>
      <c r="P13" s="897">
        <f t="shared" si="0"/>
        <v>0</v>
      </c>
      <c r="Q13" s="896">
        <f t="shared" si="0"/>
        <v>66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6</v>
      </c>
      <c r="AC13" s="896">
        <f t="shared" si="1"/>
        <v>38</v>
      </c>
      <c r="AD13" s="896">
        <f t="shared" si="1"/>
        <v>0</v>
      </c>
      <c r="AE13" s="896">
        <f t="shared" si="1"/>
        <v>0</v>
      </c>
      <c r="AF13" s="896">
        <f t="shared" si="1"/>
        <v>27</v>
      </c>
      <c r="AG13" s="896">
        <f t="shared" si="1"/>
        <v>0</v>
      </c>
      <c r="AH13" s="896">
        <f t="shared" si="1"/>
        <v>28</v>
      </c>
      <c r="AI13" s="896">
        <f t="shared" si="1"/>
        <v>0</v>
      </c>
      <c r="AJ13" s="896">
        <f t="shared" si="1"/>
        <v>0</v>
      </c>
      <c r="AK13" s="896">
        <f t="shared" si="1"/>
        <v>0</v>
      </c>
      <c r="AL13" s="896">
        <f t="shared" si="1"/>
        <v>0</v>
      </c>
      <c r="AM13" s="896">
        <f t="shared" si="1"/>
        <v>1734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49</v>
      </c>
      <c r="BD13" s="896">
        <f t="shared" si="1"/>
        <v>80</v>
      </c>
      <c r="BE13" s="896">
        <f t="shared" si="1"/>
        <v>0</v>
      </c>
      <c r="BF13" s="896">
        <f t="shared" si="1"/>
        <v>0</v>
      </c>
      <c r="BG13" s="896">
        <f>IF(ISNUMBER(Datos!K13/Datos!J13),Datos!K13/Datos!J13," - ")</f>
        <v>0.86740331491712708</v>
      </c>
      <c r="BH13" s="900">
        <f>IF(ISNUMBER(((Datos!L13/Datos!K13)*11)/factor_trimestre),((Datos!L13/Datos!K13)*11)/factor_trimestre," - ")</f>
        <v>34.910828025477713</v>
      </c>
      <c r="BI13" s="896">
        <f>IF(ISNUMBER('Resol  Asuntos'!D13/NºAsuntos!G13),'Resol  Asuntos'!D13/NºAsuntos!G13," - ")</f>
        <v>0.26486486486486488</v>
      </c>
      <c r="BJ13" s="896" t="str">
        <f>IF(ISNUMBER(Datos!CI13/Datos!CJ13),Datos!CI13/Datos!CJ13," - ")</f>
        <v xml:space="preserve"> - </v>
      </c>
      <c r="BK13" s="896">
        <f>SUBTOTAL(9,BK8:BK12)</f>
        <v>0</v>
      </c>
      <c r="BL13" s="896">
        <f>IF(ISNUMBER((I13-AB13+L13)/(F13)),(I13-AB13+L13)/(F13)," - ")</f>
        <v>-0.23076923076923078</v>
      </c>
      <c r="BM13" s="901">
        <f>SUBTOTAL(9,BM9:BM12)</f>
        <v>1.6431924882629109E-2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687</v>
      </c>
      <c r="G17" s="596">
        <f>IF(ISNUMBER(IF(D_I="SI",Datos!I17,Datos!I17+Datos!AC17)),IF(D_I="SI",Datos!I17,Datos!I17+Datos!AC17)," - ")</f>
        <v>681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438</v>
      </c>
      <c r="AC17" s="225">
        <f>IF(ISNUMBER(Datos!Q17),Datos!Q17," - ")</f>
        <v>2</v>
      </c>
      <c r="AD17" s="333"/>
      <c r="AE17" s="483"/>
      <c r="AF17" s="1192">
        <f>IF(ISNUMBER(IF(D_I="SI",Datos!L17,Datos!L17+Datos!AF17)),IF(D_I="SI",Datos!L17,Datos!L17+Datos!AF17)," - ")</f>
        <v>808</v>
      </c>
      <c r="AG17" s="333"/>
      <c r="AH17" s="333"/>
      <c r="AI17" s="333"/>
      <c r="AJ17" s="333"/>
      <c r="AK17" s="333"/>
      <c r="AL17" s="478"/>
      <c r="AM17" s="334">
        <f>IF(ISNUMBER(Datos!R17),Datos!R17," - ")</f>
        <v>88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31</v>
      </c>
      <c r="BD17" s="228">
        <f>IF(ISNUMBER(Datos!N17),Datos!N17," - ")</f>
        <v>328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0.78354203935599287</v>
      </c>
      <c r="BH17" s="259">
        <f>IF(ISNUMBER(((IF(D_I="SI",Datos!L17/Datos!K17,(Datos!L17+Datos!AF17)/(Datos!K17+Datos!AE17)))*11)/factor_trimestre),((IF(D_I="SI",Datos!L17/Datos!K17,(Datos!L17+Datos!AF17)/(Datos!K17+Datos!AE17)))*11)/factor_trimestre," - ")</f>
        <v>5.5342465753424657</v>
      </c>
      <c r="BI17" s="242">
        <f>IF(ISNUMBER('Resol  Asuntos'!D17/NºAsuntos!G17),'Resol  Asuntos'!D17/NºAsuntos!G17," - ")</f>
        <v>7.0776255707762553E-2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42</v>
      </c>
      <c r="AC18" s="225">
        <f>IF(ISNUMBER(Datos!Q18),Datos!Q18," - ")</f>
        <v>0</v>
      </c>
      <c r="AD18" s="333"/>
      <c r="AE18" s="483"/>
      <c r="AF18" s="331">
        <f>IF(ISNUMBER(Datos!L18),Datos!L18,"-")</f>
        <v>75</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10</v>
      </c>
      <c r="BD18" s="228">
        <f>IF(ISNUMBER(Datos!N18),Datos!N18," - ")</f>
        <v>29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0.75</v>
      </c>
      <c r="BH18" s="259">
        <f>IF(ISNUMBER(((IF(D_I="SI",Datos!L18/Datos!K18,(Datos!L18+Datos!AF18)/(Datos!K18+Datos!AE18)))*11)/factor_trimestre),((IF(D_I="SI",Datos!L18/Datos!K18,(Datos!L18+Datos!AF18)/(Datos!K18+Datos!AE18)))*11)/factor_trimestre," - ")</f>
        <v>5.3571428571428577</v>
      </c>
      <c r="BI18" s="242">
        <f>IF(ISNUMBER('Resol  Asuntos'!D18/NºAsuntos!G18),'Resol  Asuntos'!D18/NºAsuntos!G18," - ")</f>
        <v>0.23809523809523808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687</v>
      </c>
      <c r="G19" s="895">
        <f>SUBTOTAL(9,G15:G18)</f>
        <v>741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480</v>
      </c>
      <c r="AC19" s="896">
        <f t="shared" si="4"/>
        <v>2</v>
      </c>
      <c r="AD19" s="896">
        <f t="shared" si="4"/>
        <v>0</v>
      </c>
      <c r="AE19" s="896">
        <f t="shared" si="4"/>
        <v>0</v>
      </c>
      <c r="AF19" s="896">
        <f t="shared" si="4"/>
        <v>883</v>
      </c>
      <c r="AG19" s="896">
        <f t="shared" si="4"/>
        <v>0</v>
      </c>
      <c r="AH19" s="896">
        <f t="shared" si="4"/>
        <v>0</v>
      </c>
      <c r="AI19" s="896">
        <f t="shared" si="4"/>
        <v>0</v>
      </c>
      <c r="AJ19" s="896">
        <f t="shared" si="4"/>
        <v>0</v>
      </c>
      <c r="AK19" s="896">
        <f t="shared" si="4"/>
        <v>0</v>
      </c>
      <c r="AL19" s="896">
        <f t="shared" si="4"/>
        <v>0</v>
      </c>
      <c r="AM19" s="896">
        <f t="shared" si="4"/>
        <v>89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41</v>
      </c>
      <c r="BD19" s="896">
        <f t="shared" si="4"/>
        <v>357</v>
      </c>
      <c r="BE19" s="896">
        <f t="shared" si="4"/>
        <v>0</v>
      </c>
      <c r="BF19" s="896">
        <f t="shared" si="4"/>
        <v>0</v>
      </c>
      <c r="BG19" s="896">
        <f>IF(ISNUMBER(Datos!K19/Datos!J19),Datos!K19/Datos!J19," - ")</f>
        <v>0.78048780487804881</v>
      </c>
      <c r="BH19" s="900">
        <f>IF(ISNUMBER(((Datos!L19/Datos!K19)*11)/factor_trimestre),((Datos!L19/Datos!K19)*11)/factor_trimestre," - ")</f>
        <v>5.5187499999999998</v>
      </c>
      <c r="BI19" s="896">
        <f>SUBTOTAL(9,BI15:BI18)</f>
        <v>0.30887149380300061</v>
      </c>
      <c r="BJ19" s="896">
        <f>SUBTOTAL(9,BJ15:BJ18)</f>
        <v>0</v>
      </c>
      <c r="BK19" s="896">
        <f>SUBTOTAL(9,BK15:BK18)</f>
        <v>0</v>
      </c>
      <c r="BL19" s="896">
        <f>IF(ISNUMBER((I19-AB19+L19)/(F19)),(I19-AB19+L19)/(F19)," - ")</f>
        <v>-0.69868995633187769</v>
      </c>
      <c r="BM19" s="902">
        <f>IF(ISNUMBER((Datos!P19-Datos!Q19)/(Datos!R19-Datos!P19+Datos!Q19)),(Datos!P19-Datos!Q19)/(Datos!R19-Datos!P19+Datos!Q19)," - ")</f>
        <v>0</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713</v>
      </c>
      <c r="G20" s="817">
        <f t="shared" si="6"/>
        <v>767</v>
      </c>
      <c r="H20" s="819">
        <f t="shared" si="6"/>
        <v>0</v>
      </c>
      <c r="I20" s="817">
        <f t="shared" si="6"/>
        <v>0</v>
      </c>
      <c r="J20" s="819">
        <f t="shared" si="6"/>
        <v>0</v>
      </c>
      <c r="K20" s="819">
        <f t="shared" si="6"/>
        <v>0</v>
      </c>
      <c r="L20" s="878">
        <f t="shared" si="6"/>
        <v>0</v>
      </c>
      <c r="M20" s="878">
        <f t="shared" si="6"/>
        <v>0</v>
      </c>
      <c r="N20" s="878">
        <f t="shared" si="6"/>
        <v>10</v>
      </c>
      <c r="O20" s="878">
        <f t="shared" si="6"/>
        <v>0</v>
      </c>
      <c r="P20" s="878">
        <f t="shared" si="6"/>
        <v>0</v>
      </c>
      <c r="Q20" s="819">
        <f t="shared" si="6"/>
        <v>68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486</v>
      </c>
      <c r="AC20" s="818">
        <f t="shared" si="7"/>
        <v>40</v>
      </c>
      <c r="AD20" s="818">
        <f t="shared" si="7"/>
        <v>0</v>
      </c>
      <c r="AE20" s="818">
        <f t="shared" si="7"/>
        <v>0</v>
      </c>
      <c r="AF20" s="825">
        <f t="shared" si="7"/>
        <v>910</v>
      </c>
      <c r="AG20" s="825">
        <f t="shared" si="7"/>
        <v>0</v>
      </c>
      <c r="AH20" s="825">
        <f t="shared" si="7"/>
        <v>28</v>
      </c>
      <c r="AI20" s="825">
        <f t="shared" si="7"/>
        <v>0</v>
      </c>
      <c r="AJ20" s="818">
        <f t="shared" si="7"/>
        <v>0</v>
      </c>
      <c r="AK20" s="825">
        <f t="shared" si="7"/>
        <v>0</v>
      </c>
      <c r="AL20" s="825">
        <f t="shared" si="7"/>
        <v>0</v>
      </c>
      <c r="AM20" s="825">
        <f t="shared" si="7"/>
        <v>1823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90</v>
      </c>
      <c r="BD20" s="817">
        <f t="shared" si="7"/>
        <v>437</v>
      </c>
      <c r="BE20" s="817">
        <f t="shared" si="7"/>
        <v>0</v>
      </c>
      <c r="BF20" s="827">
        <f t="shared" si="7"/>
        <v>0</v>
      </c>
      <c r="BG20" s="912">
        <f>IF(ISNUMBER(Datos!K20/Datos!J20),Datos!K20/Datos!J20," - ")</f>
        <v>0.80025125628140703</v>
      </c>
      <c r="BH20" s="912">
        <f>IF(ISNUMBER(((Datos!L20/Datos!K20)*11)/factor_trimestre),((Datos!L20/Datos!K20)*11)/factor_trimestre," - ")</f>
        <v>12.762951334379906</v>
      </c>
      <c r="BI20" s="810">
        <f>IF(ISNUMBER(Datos!J20/Datos!I20),Datos!J20/Datos!I20," - ")</f>
        <v>0.31388012618296529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-0.68162692847124828</v>
      </c>
      <c r="BM20" s="886">
        <f>IF(ISNUMBER((Datos!P20-Datos!Q20+R20)/(Datos!R20-Datos!P20+Datos!Q20-R20)),(Datos!P20-Datos!Q20+R20)/(Datos!R20-Datos!P20+Datos!Q20-R20)," - ")</f>
        <v>1.5598885793871866E-2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306.8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381.62852793434263</v>
      </c>
      <c r="G22" s="551">
        <f>IF(ISNUMBER(STDEV(G8:G19)),STDEV(G8:G19),"-")</f>
        <v>369.85226780432214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242.44752009455573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19.328735085359313</v>
      </c>
      <c r="BD22" s="550"/>
      <c r="BE22" s="550">
        <f>IF(ISNUMBER(STDEV(BE8:BE19)),STDEV(BE8:BE19),"-")</f>
        <v>0</v>
      </c>
      <c r="BF22" s="555">
        <f>IF(ISNUMBER(STDEV(BF8:BF19)),STDEV(BF8:BF19),"-")</f>
        <v>0</v>
      </c>
      <c r="BG22" s="772">
        <f>IF(ISNUMBER(STDEV(BG8:BG19)),STDEV(BG8:BG19),"-")</f>
        <v>8.1707386040121469E-2</v>
      </c>
      <c r="BH22" s="773">
        <f>IF(ISNUMBER(STDEV(BH8:BH19)),STDEV(BH8:BH19),"-")</f>
        <v>13.496054526187347</v>
      </c>
      <c r="BI22" s="248">
        <f>IF(ISNUMBER(STDEV(BI8:BI19)),STDEV(BI8:BI19),"-")</f>
        <v>0.10409044430815986</v>
      </c>
      <c r="BJ22" s="229" t="str">
        <f>IF(ISNUMBER(BL22/BM22),BL22/BM22," - ")</f>
        <v xml:space="preserve"> - </v>
      </c>
      <c r="BK22" s="574"/>
      <c r="BL22" s="558">
        <f>IF(ISNUMBER(STDEV(BL8:BL19)),STDEV(BL8:BL19),"-")</f>
        <v>0.33086991810307725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vo+6R0PijSInMLvYB481AqSHkImBcKkBCmfLTtxAZyDf7ZKcZqiwC3eftS9KrMsgYlmUH3hFsixPLMUXZmvW/A==" saltValue="JCaAOaR4LvK6rsZytJuwk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REGION DE MURCIA</v>
      </c>
    </row>
    <row r="2" spans="1:78" ht="16.5" customHeight="1">
      <c r="C2" s="527" t="str">
        <f>Criterios!A10 &amp;"  "&amp;Criterios!B10 &amp; "  " &amp; IF(NOT(ISBLANK(Criterios!A11)),Criterios!A11 &amp;"  "&amp;Criterios!B11,"")</f>
        <v>Provincias  MURCIA  Resumenes por Partidos Judiciales  YECLA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26</v>
      </c>
      <c r="G10" s="224">
        <f>IF(ISNUMBER(Datos!I10),Datos!I10," - ")</f>
        <v>26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6</v>
      </c>
      <c r="Z10" s="617">
        <f>IF(ISNUMBER(Datos!Q10),Datos!Q10," - ")</f>
        <v>0</v>
      </c>
      <c r="AA10" s="331">
        <f>IF(ISNUMBER(Datos!L10),Datos!L10,"-")</f>
        <v>27</v>
      </c>
      <c r="AB10" s="333"/>
      <c r="AC10" s="333"/>
      <c r="AD10" s="483"/>
      <c r="AE10" s="483">
        <f>IF(ISNUMBER(Datos!R10),Datos!R10," - ")</f>
        <v>2</v>
      </c>
      <c r="AF10" s="228" t="str">
        <f>IF(ISNUMBER(Datos!BV10),Datos!BV10," - ")</f>
        <v xml:space="preserve"> - </v>
      </c>
      <c r="AG10" s="224" t="str">
        <f>IF(ISNUMBER(Datos!DV10),Datos!DV10," - ")</f>
        <v xml:space="preserve"> - </v>
      </c>
      <c r="AH10" s="297"/>
      <c r="AI10" s="226"/>
      <c r="AJ10" s="224">
        <f>IF(ISNUMBER(Datos!M10),Datos!M10," - ")</f>
        <v>3</v>
      </c>
      <c r="AK10" s="228">
        <f>IF(ISNUMBER(Datos!N10),Datos!N10," - ")</f>
        <v>2</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13.5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66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38</v>
      </c>
      <c r="AA12" s="331" t="str">
        <f>IF(ISNUMBER(IF(J_V="SI",Datos!L12,Datos!L12+Datos!AB12)-IF(Monitorios="SI",Datos!CD12,0)),
                          IF(J_V="SI",Datos!L12,Datos!L12+Datos!AB12)-IF(Monitorios="SI",Datos!CD12,0),
                          " - ")</f>
        <v xml:space="preserve"> - </v>
      </c>
      <c r="AB12" s="333"/>
      <c r="AC12" s="333"/>
      <c r="AD12" s="483"/>
      <c r="AE12" s="483">
        <f>IF(ISNUMBER(Datos!R12),Datos!R12," - ")</f>
        <v>1732</v>
      </c>
      <c r="AF12" s="228" t="str">
        <f>IF(ISNUMBER(Datos!BV12),Datos!BV12," - ")</f>
        <v xml:space="preserve"> - </v>
      </c>
      <c r="AG12" s="224" t="str">
        <f>IF(ISNUMBER(Datos!DV12),Datos!DV12," - ")</f>
        <v xml:space="preserve"> - </v>
      </c>
      <c r="AH12" s="297"/>
      <c r="AI12" s="226"/>
      <c r="AJ12" s="224">
        <f>IF(ISNUMBER(Datos!M12),Datos!M12," - ")</f>
        <v>46</v>
      </c>
      <c r="AK12" s="228">
        <f>IF(ISNUMBER(Datos!N12),Datos!N12," - ")</f>
        <v>78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30.636871508379887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1.6431924882629109E-2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26</v>
      </c>
      <c r="G13" s="895">
        <f>SUBTOTAL(9,G8:G12)</f>
        <v>26</v>
      </c>
      <c r="H13" s="905"/>
      <c r="I13" s="895">
        <f t="shared" ref="I13:N13" si="0">SUBTOTAL(9,I8:I12)</f>
        <v>0</v>
      </c>
      <c r="J13" s="864">
        <f t="shared" si="0"/>
        <v>0</v>
      </c>
      <c r="K13" s="905">
        <f t="shared" si="0"/>
        <v>0</v>
      </c>
      <c r="L13" s="905">
        <f t="shared" si="0"/>
        <v>0</v>
      </c>
      <c r="M13" s="905">
        <f t="shared" si="0"/>
        <v>0</v>
      </c>
      <c r="N13" s="905">
        <f t="shared" si="0"/>
        <v>66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6</v>
      </c>
      <c r="Z13" s="904">
        <f t="shared" si="2"/>
        <v>38</v>
      </c>
      <c r="AA13" s="897">
        <f t="shared" si="2"/>
        <v>27</v>
      </c>
      <c r="AB13" s="897">
        <f t="shared" si="2"/>
        <v>0</v>
      </c>
      <c r="AC13" s="897">
        <f t="shared" si="2"/>
        <v>0</v>
      </c>
      <c r="AD13" s="897">
        <f t="shared" si="2"/>
        <v>0</v>
      </c>
      <c r="AE13" s="897">
        <f t="shared" si="2"/>
        <v>1734</v>
      </c>
      <c r="AF13" s="905">
        <f t="shared" si="2"/>
        <v>0</v>
      </c>
      <c r="AG13" s="905">
        <f t="shared" si="2"/>
        <v>0</v>
      </c>
      <c r="AH13" s="905">
        <f t="shared" si="2"/>
        <v>0</v>
      </c>
      <c r="AI13" s="905">
        <f t="shared" si="2"/>
        <v>0</v>
      </c>
      <c r="AJ13" s="905">
        <f t="shared" si="2"/>
        <v>49</v>
      </c>
      <c r="AK13" s="905">
        <f t="shared" si="2"/>
        <v>80</v>
      </c>
      <c r="AL13" s="905">
        <f t="shared" si="2"/>
        <v>0</v>
      </c>
      <c r="AM13" s="905">
        <f t="shared" si="2"/>
        <v>0</v>
      </c>
      <c r="AN13" s="905">
        <f t="shared" si="2"/>
        <v>0</v>
      </c>
      <c r="AO13" s="901">
        <f>IF(ISNUMBER(((NºAsuntos!I13/NºAsuntos!G13)*11)/factor_trimestre),((NºAsuntos!I13/NºAsuntos!G13)*11)/factor_trimestre," - ")</f>
        <v>30.081081081081081</v>
      </c>
      <c r="AP13" s="907" t="str">
        <f>IF(ISNUMBER(Datos!CI13/Datos!CJ13),Datos!CI13/Datos!CJ13," - ")</f>
        <v xml:space="preserve"> - </v>
      </c>
      <c r="AQ13" s="923">
        <f t="shared" ref="AQ13:AV13" si="3">SUBTOTAL(9,AQ9:AQ12)</f>
        <v>0</v>
      </c>
      <c r="AR13" s="923">
        <f t="shared" si="3"/>
        <v>1.6431924882629109E-2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687</v>
      </c>
      <c r="G17" s="224">
        <f>IF(ISNUMBER(IF(D_I="SI",Datos!I17,Datos!I17+Datos!AC17)),IF(D_I="SI",Datos!I17,Datos!I17+Datos!AC17)," - ")</f>
        <v>681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438</v>
      </c>
      <c r="Z17" s="617">
        <f>IF(ISNUMBER(Datos!Q17),Datos!Q17," - ")</f>
        <v>2</v>
      </c>
      <c r="AA17" s="331">
        <f>IF(ISNUMBER(IF(D_I="SI",Datos!L17,Datos!L17+Datos!AF17)),IF(D_I="SI",Datos!L17,Datos!L17+Datos!AF17)," - ")</f>
        <v>808</v>
      </c>
      <c r="AB17" s="333"/>
      <c r="AC17" s="333"/>
      <c r="AD17" s="483"/>
      <c r="AE17" s="483">
        <f>IF(ISNUMBER(Datos!R17),Datos!R17," - ")</f>
        <v>88</v>
      </c>
      <c r="AF17" s="228" t="str">
        <f>IF(ISNUMBER(Datos!BV17),Datos!BV17," - ")</f>
        <v xml:space="preserve"> - </v>
      </c>
      <c r="AG17" s="224"/>
      <c r="AH17" s="297"/>
      <c r="AI17" s="226"/>
      <c r="AJ17" s="224">
        <f>IF(ISNUMBER(Datos!M17),Datos!M17," - ")</f>
        <v>31</v>
      </c>
      <c r="AK17" s="228">
        <f>IF(ISNUMBER(Datos!N17),Datos!N17," - ")</f>
        <v>328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5.5342465753424657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60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42</v>
      </c>
      <c r="Z18" s="617">
        <f>IF(ISNUMBER(Datos!Q18),Datos!Q18," - ")</f>
        <v>0</v>
      </c>
      <c r="AA18" s="331">
        <f>IF(ISNUMBER(Datos!L18),Datos!L18,"-")</f>
        <v>75</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10</v>
      </c>
      <c r="AK18" s="228">
        <f>IF(ISNUMBER(Datos!N18),Datos!N18," - ")</f>
        <v>29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5.3571428571428577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687</v>
      </c>
      <c r="G19" s="895">
        <f>SUBTOTAL(9,G15:G18)</f>
        <v>741</v>
      </c>
      <c r="H19" s="927">
        <f>SUBTOTAL(9,H15:H18)</f>
        <v>0</v>
      </c>
      <c r="I19" s="908">
        <f>SUBTOTAL(9,I15:I18)</f>
        <v>0</v>
      </c>
      <c r="J19" s="864">
        <f>SUBTOTAL(9,J14:J18)</f>
        <v>0</v>
      </c>
      <c r="K19" s="927">
        <f t="shared" ref="K19:S19" si="4">SUBTOTAL(9,K15:K18)</f>
        <v>0</v>
      </c>
      <c r="L19" s="927">
        <f t="shared" si="4"/>
        <v>0</v>
      </c>
      <c r="M19" s="927">
        <f t="shared" si="4"/>
        <v>0</v>
      </c>
      <c r="N19" s="927">
        <f t="shared" si="4"/>
        <v>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480</v>
      </c>
      <c r="Z19" s="927">
        <f t="shared" si="5"/>
        <v>2</v>
      </c>
      <c r="AA19" s="927">
        <f t="shared" si="5"/>
        <v>883</v>
      </c>
      <c r="AB19" s="927">
        <f t="shared" si="5"/>
        <v>0</v>
      </c>
      <c r="AC19" s="927">
        <f t="shared" si="5"/>
        <v>0</v>
      </c>
      <c r="AD19" s="927">
        <f t="shared" si="5"/>
        <v>0</v>
      </c>
      <c r="AE19" s="927">
        <f t="shared" si="5"/>
        <v>89</v>
      </c>
      <c r="AF19" s="927">
        <f t="shared" si="5"/>
        <v>0</v>
      </c>
      <c r="AG19" s="927">
        <f t="shared" si="5"/>
        <v>0</v>
      </c>
      <c r="AH19" s="927">
        <f t="shared" si="5"/>
        <v>0</v>
      </c>
      <c r="AI19" s="927">
        <f t="shared" si="5"/>
        <v>0</v>
      </c>
      <c r="AJ19" s="927">
        <f t="shared" si="5"/>
        <v>41</v>
      </c>
      <c r="AK19" s="927">
        <f t="shared" si="5"/>
        <v>357</v>
      </c>
      <c r="AL19" s="927">
        <f t="shared" si="5"/>
        <v>0</v>
      </c>
      <c r="AM19" s="927">
        <f t="shared" si="5"/>
        <v>0</v>
      </c>
      <c r="AN19" s="927">
        <f t="shared" si="5"/>
        <v>0</v>
      </c>
      <c r="AO19" s="929">
        <f>IF(ISNUMBER(((NºAsuntos!I19/NºAsuntos!G19)*11)/factor_trimestre),((NºAsuntos!I19/NºAsuntos!G19)*11)/factor_trimestre," - ")</f>
        <v>5.5187499999999998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713</v>
      </c>
      <c r="G20" s="817">
        <f t="shared" si="7"/>
        <v>767</v>
      </c>
      <c r="H20" s="818">
        <f t="shared" si="7"/>
        <v>0</v>
      </c>
      <c r="I20" s="817">
        <f t="shared" si="7"/>
        <v>0</v>
      </c>
      <c r="J20" s="819">
        <f t="shared" si="7"/>
        <v>0</v>
      </c>
      <c r="K20" s="817">
        <f t="shared" si="7"/>
        <v>0</v>
      </c>
      <c r="L20" s="820">
        <f t="shared" si="7"/>
        <v>0</v>
      </c>
      <c r="M20" s="817">
        <f t="shared" si="7"/>
        <v>0</v>
      </c>
      <c r="N20" s="818">
        <f t="shared" si="7"/>
        <v>68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486</v>
      </c>
      <c r="Z20" s="824">
        <f t="shared" si="8"/>
        <v>40</v>
      </c>
      <c r="AA20" s="825">
        <f t="shared" si="8"/>
        <v>910</v>
      </c>
      <c r="AB20" s="825">
        <f t="shared" si="8"/>
        <v>0</v>
      </c>
      <c r="AC20" s="825">
        <f t="shared" si="8"/>
        <v>0</v>
      </c>
      <c r="AD20" s="826">
        <f t="shared" si="8"/>
        <v>0</v>
      </c>
      <c r="AE20" s="826">
        <f t="shared" si="8"/>
        <v>1823</v>
      </c>
      <c r="AF20" s="827">
        <f t="shared" si="8"/>
        <v>0</v>
      </c>
      <c r="AG20" s="828">
        <f t="shared" si="8"/>
        <v>0</v>
      </c>
      <c r="AH20" s="829">
        <f t="shared" si="8"/>
        <v>0</v>
      </c>
      <c r="AI20" s="827">
        <f t="shared" si="8"/>
        <v>0</v>
      </c>
      <c r="AJ20" s="817">
        <f t="shared" si="8"/>
        <v>90</v>
      </c>
      <c r="AK20" s="817">
        <f t="shared" si="8"/>
        <v>437</v>
      </c>
      <c r="AL20" s="817">
        <f t="shared" si="8"/>
        <v>0</v>
      </c>
      <c r="AM20" s="830">
        <f t="shared" si="8"/>
        <v>0</v>
      </c>
      <c r="AN20" s="820">
        <f>IF(ISNUMBER(Datos!K20/Datos!J20),Datos!K20/Datos!J20," - ")</f>
        <v>0.80025125628140703</v>
      </c>
      <c r="AO20" s="820">
        <f>IF(ISNUMBER(FIND("06",Criterios!A8,1)),(IF(ISNUMBER(((Datos!R20/Datos!Q20)*11)/factor_trimestre),((Datos!R20/Datos!Q20)*11)/factor_trimestre," - ")),(IF(ISNUMBER(((Datos!L20/Datos!K20)*11)/factor_trimestre),((Datos!L20/Datos!K20)*11)/factor_trimestre," - ")))</f>
        <v>12.762951334379906</v>
      </c>
      <c r="AP20" s="831" t="str">
        <f>IF(ISNUMBER(Datos!CI20/Datos!CJ20),Datos!CI20/Datos!CJ20," - ")</f>
        <v xml:space="preserve"> - </v>
      </c>
      <c r="AQ20" s="831">
        <f>IF(OR(ISNUMBER(FIND("01",Criterios!A8,1)),ISNUMBER(FIND("02",Criterios!A8,1)),ISNUMBER(FIND("03",Criterios!A8,1)),ISNUMBER(FIND("04",Criterios!A8,1))),(J20-Y20+K20)/(F20-K20),(I20-Y20+K20)/(F20-K20))</f>
        <v>-0.68162692847124828</v>
      </c>
      <c r="AR20" s="831">
        <f>IF(ISNUMBER((Datos!P20-Datos!Q20+O20)/(Datos!R20-Datos!P20+Datos!Q20-O20)),(Datos!P20-Datos!Q20+O20)/(Datos!R20-Datos!P20+Datos!Q20-O20)," - ")</f>
        <v>1.5598885793871866E-2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306.8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381.62852793434263</v>
      </c>
      <c r="G22" s="551">
        <f>IF(ISNUMBER(STDEV(G8:G19)),STDEV(G8:G19),"-")</f>
        <v>369.85226780432214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19.328735085359313</v>
      </c>
      <c r="AK22" s="251"/>
      <c r="AL22" s="251">
        <f>IF(ISNUMBER(STDEV(AL8:AL19)),STDEV(AL8:AL19),"-")</f>
        <v>0</v>
      </c>
      <c r="AM22" s="253">
        <f>IF(ISNUMBER(STDEV(AM8:AM19)),STDEV(AM8:AM19),"-")</f>
        <v>0</v>
      </c>
      <c r="AN22" s="538">
        <f>IF(ISNUMBER(STDEV(AN8:AN19)),STDEV(AN8:AN19),"-")</f>
        <v>0</v>
      </c>
      <c r="AO22" s="539">
        <f>IF(ISNUMBER(STDEV(AO8:AO19)),STDEV(AO8:AO19),"-")</f>
        <v>12.219773242976748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CSKVn1QD4Jq1tAWgy2XLL6PtulywqPa13I9GlfcgsSF32V87wGZbqaPjBYZDhUIC26Iw6bQ/asS96pHByjCqvg==" saltValue="yqkf6UBsZ8D2peRhhbqSq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YfuFs8HTW6vcOF2W4K83gq3rAwrhWCETVQMBiiN6xJZCD/NtVhWRPVPrsdnJxgmipVlP+pik0ZD2B2EEZDqoCQ==" saltValue="SlRTCP4K4UGVSGVhRfUF4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7cvRI75XEA202ejTGCpYDGH5Y5pCABNkn7jDm/FYHN1uGX/VM2TGt0Fy2V1gWanyFtjZIs5k+fzUe5JSFTPPg==" saltValue="+R26sE7H/UkGXR4/LCD41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REGION DE MURCIA</v>
      </c>
    </row>
    <row r="2" spans="1:78" ht="16.5" customHeight="1">
      <c r="C2" s="487" t="str">
        <f>Criterios!A10 &amp;"  "&amp;Criterios!B10 &amp; "  " &amp; IF(NOT(ISBLANK(Criterios!A11)),Criterios!A11 &amp;"  "&amp;Criterios!B11,"")</f>
        <v>Provincias  MURCIA  Resumenes por Partidos Judiciales  YECLA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0.26486486486486488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0.1872877420440045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do8XpRm5+45vxxyHdHfpIcPtGnUFGBzact1smT1WQ9k950Yn3aZsF+rmKvNoUSr/m0tbLikgVeNpb80/5YYijw==" saltValue="z/UIqii5SM5tKCXWK8czM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62gZf+pD56HZpkd3jv+0bkPyeDKgwu9qNF1aZGGVc5ldbEJVY04wxMwT4/tpidLlIRnyJadDhrY90nQthfeBvg==" saltValue="XsNkOi1UIP7HNrTMB4oSf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REGION DE MURCIA</v>
      </c>
      <c r="W1"/>
      <c r="X1"/>
    </row>
    <row r="2" spans="1:78" ht="16.5" customHeight="1">
      <c r="C2" s="487" t="str">
        <f>Criterios!A10 &amp;"  "&amp;Criterios!B10 &amp; "  " &amp; IF(NOT(ISBLANK(Criterios!A11)),Criterios!A11 &amp;"  "&amp;Criterios!B11,"")</f>
        <v>Provincias  MURCIA  Resumenes por Partidos Judiciales  YECLA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26</v>
      </c>
      <c r="G10" s="681">
        <f>IF(ISNUMBER(Datos!I10),Datos!I10," - ")</f>
        <v>26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6</v>
      </c>
      <c r="AC10" s="680" t="str">
        <f>IF(ISNUMBER(IF(D_I="SI",DatosP!K18,DatosP!K18+DatosP!AE18)),IF(D_I="SI",DatosP!K18,DatosP!K18+DatosP!AE18)," - ")</f>
        <v xml:space="preserve"> - </v>
      </c>
      <c r="AD10" s="682"/>
      <c r="AE10" s="682"/>
      <c r="AF10" s="685">
        <f>IF(ISNUMBER(Datos!L10),Datos!L10,"-")</f>
        <v>27</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v>
      </c>
      <c r="AM10" s="687">
        <f>IF(ISNUMBER(Datos!N10+DatosP!N18),Datos!N10+DatosP!N18," - ")</f>
        <v>2</v>
      </c>
      <c r="AN10" s="687">
        <f>IF(ISNUMBER(Datos!BW10+DatosP!BW18),Datos!BW10+DatosP!BW18," - ")</f>
        <v>0</v>
      </c>
      <c r="AO10" s="688">
        <f>IF(ISNUMBER(Datos!BX10+DatosP!BX18),Datos!BX10+DatosP!BX18," - ")</f>
        <v>0</v>
      </c>
      <c r="AP10" s="690">
        <f>IF(ISNUMBER(((Datos!L10/Datos!K10)*11)/factor_trimestre),((Datos!L10/Datos!K10)*11)/factor_trimestre," - ")</f>
        <v>13.5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66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1732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46</v>
      </c>
      <c r="AM12" s="687">
        <f>IF(ISNUMBER(Datos!N12+DatosP!N17),Datos!N12+DatosP!N17," - ")</f>
        <v>78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30.636871508379887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1.6431924882629109E-2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26</v>
      </c>
      <c r="G13" s="933">
        <f t="shared" si="0"/>
        <v>26</v>
      </c>
      <c r="H13" s="933">
        <f t="shared" si="0"/>
        <v>0</v>
      </c>
      <c r="I13" s="935">
        <f t="shared" si="0"/>
        <v>0</v>
      </c>
      <c r="J13" s="934">
        <f t="shared" si="0"/>
        <v>0</v>
      </c>
      <c r="K13" s="934">
        <f t="shared" si="0"/>
        <v>0</v>
      </c>
      <c r="L13" s="936">
        <f t="shared" si="0"/>
        <v>0</v>
      </c>
      <c r="M13" s="936">
        <f t="shared" si="0"/>
        <v>0</v>
      </c>
      <c r="N13" s="934">
        <f t="shared" si="0"/>
        <v>66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6</v>
      </c>
      <c r="AC13" s="934">
        <f t="shared" si="1"/>
        <v>0</v>
      </c>
      <c r="AD13" s="934">
        <f t="shared" si="1"/>
        <v>38</v>
      </c>
      <c r="AE13" s="934">
        <f t="shared" si="1"/>
        <v>0</v>
      </c>
      <c r="AF13" s="934">
        <f t="shared" si="1"/>
        <v>27</v>
      </c>
      <c r="AG13" s="934">
        <f t="shared" si="1"/>
        <v>0</v>
      </c>
      <c r="AH13" s="934">
        <f t="shared" si="1"/>
        <v>1732</v>
      </c>
      <c r="AI13" s="934">
        <f t="shared" si="1"/>
        <v>0</v>
      </c>
      <c r="AJ13" s="934">
        <f t="shared" si="1"/>
        <v>0</v>
      </c>
      <c r="AK13" s="934">
        <f t="shared" si="1"/>
        <v>0</v>
      </c>
      <c r="AL13" s="934">
        <f t="shared" si="1"/>
        <v>49</v>
      </c>
      <c r="AM13" s="934">
        <f t="shared" si="1"/>
        <v>80</v>
      </c>
      <c r="AN13" s="934">
        <f t="shared" si="1"/>
        <v>0</v>
      </c>
      <c r="AO13" s="934">
        <f t="shared" si="1"/>
        <v>0</v>
      </c>
      <c r="AP13" s="939">
        <f>IF(ISNUMBER(((Datos!L13/Datos!K13)*11)/factor_trimestre),((Datos!L13/Datos!K13)*11)/factor_trimestre," - ")</f>
        <v>34.910828025477713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-0.23076923076923078</v>
      </c>
      <c r="AU13" s="934" t="str">
        <f>IF(ISNUMBER((DatosP!#REF!-DatosP!#REF!+DatosP!#REF!)/(DatosP!#REF!+DatosP!#REF!-DatosP!#REF!-DatosP!#REF!)),(DatosP!#REF!-DatosP!#REF!+DatosP!#REF!)/(DatosP!#REF!+DatosP!#REF!-DatosP!#REF!-DatosP!#REF!)," - ")</f>
        <v xml:space="preserve"> - </v>
      </c>
      <c r="AV13" s="940">
        <f>SUBTOTAL(9,AV9:AV12)</f>
        <v>1.6431924882629109E-2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5.5187499999999998</v>
      </c>
      <c r="AQ19" s="939">
        <f>IF(ISNUMBER(((Datos!M19/Datos!L19)*11)/factor_trimestre),((Datos!M19/Datos!L19)*11)/factor_trimestre," - ")</f>
        <v>0.1392978482446206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v>
      </c>
      <c r="AW19" s="941">
        <f>IF(ISNUMBER((Datos!Q19-Datos!R19)/(Datos!S19-Datos!Q19+Datos!R19)),(Datos!Q19-Datos!R19)/(Datos!S19-Datos!Q19+Datos!R19)," - ")</f>
        <v>-0.1357254290171607</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26</v>
      </c>
      <c r="G20" s="946">
        <f t="shared" si="4"/>
        <v>26</v>
      </c>
      <c r="H20" s="946">
        <f t="shared" si="4"/>
        <v>0</v>
      </c>
      <c r="I20" s="947">
        <f t="shared" si="4"/>
        <v>0</v>
      </c>
      <c r="J20" s="948">
        <f t="shared" si="4"/>
        <v>0</v>
      </c>
      <c r="K20" s="948">
        <f t="shared" si="4"/>
        <v>0</v>
      </c>
      <c r="L20" s="948">
        <f t="shared" si="4"/>
        <v>0</v>
      </c>
      <c r="M20" s="948">
        <f t="shared" si="4"/>
        <v>0</v>
      </c>
      <c r="N20" s="947">
        <f t="shared" si="4"/>
        <v>66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6</v>
      </c>
      <c r="AC20" s="952">
        <f t="shared" si="5"/>
        <v>0</v>
      </c>
      <c r="AD20" s="952">
        <f t="shared" si="5"/>
        <v>38</v>
      </c>
      <c r="AE20" s="952">
        <f t="shared" si="5"/>
        <v>0</v>
      </c>
      <c r="AF20" s="953">
        <f t="shared" si="5"/>
        <v>27</v>
      </c>
      <c r="AG20" s="953">
        <f t="shared" si="5"/>
        <v>0</v>
      </c>
      <c r="AH20" s="953">
        <f t="shared" si="5"/>
        <v>1732</v>
      </c>
      <c r="AI20" s="953">
        <f t="shared" si="5"/>
        <v>0</v>
      </c>
      <c r="AJ20" s="954">
        <f t="shared" si="5"/>
        <v>0</v>
      </c>
      <c r="AK20" s="954">
        <f t="shared" si="5"/>
        <v>0</v>
      </c>
      <c r="AL20" s="946">
        <f t="shared" si="5"/>
        <v>49</v>
      </c>
      <c r="AM20" s="946">
        <f t="shared" si="5"/>
        <v>80</v>
      </c>
      <c r="AN20" s="946">
        <f t="shared" si="5"/>
        <v>0</v>
      </c>
      <c r="AO20" s="946">
        <f t="shared" si="5"/>
        <v>0</v>
      </c>
      <c r="AP20" s="946">
        <f>IF(ISNUMBER(((Datos!L20/Datos!K20)*11)/factor_trimestre),((Datos!L20/Datos!K20)*11)/factor_trimestre," - ")</f>
        <v>12.762951334379906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-0.23076923076923078</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1.5598885793871866E-2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17.333333333333332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15.01110699893027</v>
      </c>
      <c r="G22" s="734">
        <f>IF(ISNUMBER(STDEV(G8:G19)),STDEV(G8:G19),"-")</f>
        <v>15.01110699893027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3.4641016151377544</v>
      </c>
      <c r="AC22" s="735">
        <f>IF(ISNUMBER(STDEV(AC8:AC19)),STDEV(AC8:AC19),"-")</f>
        <v>0</v>
      </c>
      <c r="AD22" s="738"/>
      <c r="AE22" s="738"/>
      <c r="AF22" s="738"/>
      <c r="AG22" s="738"/>
      <c r="AH22" s="738"/>
      <c r="AI22" s="738"/>
      <c r="AJ22" s="739">
        <f>IF(ISNUMBER(STDEV(AJ8:AJ19)),STDEV(AJ8:AJ19),"-")</f>
        <v>0</v>
      </c>
      <c r="AK22" s="741"/>
      <c r="AL22" s="733">
        <f>IF(ISNUMBER(STDEV(AL8:AL19)),STDEV(AL8:AL19),"-")</f>
        <v>26.614532371118855</v>
      </c>
      <c r="AM22" s="733"/>
      <c r="AN22" s="733">
        <f>IF(ISNUMBER(STDEV(AN8:AN19)),STDEV(AN8:AN19),"-")</f>
        <v>0</v>
      </c>
      <c r="AO22" s="739">
        <f>IF(ISNUMBER(STDEV(AO8:AO19)),STDEV(AO8:AO19),"-")</f>
        <v>0</v>
      </c>
      <c r="AP22" s="776">
        <f>IF(ISNUMBER(STDEV(AP8:AP19)),STDEV(AP8:AP19),"-")</f>
        <v>13.931012335999833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jozx1QuvbiNxDkdZEmFScHF6pF8VrVabcymca2zqFkrFiteLh7HbrHoZGzK9acycbYNtWLgfeEk2ulwk9Epv7A==" saltValue="A7BRX6DRHyCAnScTXojAG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REGION DE MURCIA</v>
      </c>
    </row>
    <row r="2" spans="1:168" ht="16.5" customHeight="1">
      <c r="C2" s="487" t="str">
        <f>Criterios!A10 &amp;"  "&amp;Criterios!B10 &amp; "  " &amp; IF(NOT(ISBLANK(Criterios!A11)),Criterios!A11 &amp;"  "&amp;Criterios!B11,"")</f>
        <v>Provincias  MURCIA  Resumenes por Partidos Judiciales  YECLA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170.04475200945558</v>
      </c>
      <c r="CF9" s="228">
        <f ca="1">AVERAGEIFS($AB:$AB,$BW:$BW,BW9,$BX:$BX,BX9)</f>
        <v>170.04475200945558</v>
      </c>
      <c r="CG9" s="1191">
        <v>0.7</v>
      </c>
      <c r="CH9" s="1191">
        <f ca="1">AVERAGEIF($BW:$BW,$BW9,$AC:$AC)</f>
        <v>12</v>
      </c>
      <c r="CI9" s="228">
        <f ca="1">AVERAGEIFS($AC:$AC,$BW:$BW,$BW9,$BX:$BX,$BX9)</f>
        <v>12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303.33333333333331</v>
      </c>
      <c r="CR9" s="228">
        <f ca="1">AVERAGEIFS($AF:$AF,$BW:$BW,BW9,$BX:$BX,BX9)</f>
        <v>303.33333333333331</v>
      </c>
      <c r="CS9" s="1191">
        <v>1.3</v>
      </c>
      <c r="CT9" s="1191">
        <v>1.5</v>
      </c>
      <c r="CU9" s="1191">
        <f ca="1">AVERAGEIF($BW:$BW,$BW9,$AH:$AH)</f>
        <v>12</v>
      </c>
      <c r="CV9" s="228">
        <f ca="1">AVERAGEIFS($AH:$AH,$BW:$BW,$BW9,$BX:$BX,$BX9)</f>
        <v>12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546.9</v>
      </c>
      <c r="DH9" s="228">
        <f ca="1">AVERAGEIFS($AM:$AM,$BW:$BW,$BW9,$BX:$BX,$BX9)</f>
        <v>546.9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11.065167711537288</v>
      </c>
      <c r="ER9" s="228">
        <f ca="1">AVERAGEIFS($BH:$BH,$BW:$BW,$BW9,$BX:$BX,$BX9)</f>
        <v>11.065167711537288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26</v>
      </c>
      <c r="G10" s="332">
        <f>IF(ISNUMBER(Datos!I10),Datos!I10," - ")</f>
        <v>26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6</v>
      </c>
      <c r="AC10" s="224">
        <f>IF(ISNUMBER(Datos!Q10),Datos!Q10," - ")</f>
        <v>0</v>
      </c>
      <c r="AD10" s="224"/>
      <c r="AE10" s="224"/>
      <c r="AF10" s="224">
        <f>IF(ISNUMBER(Datos!L10),Datos!L10,"-")</f>
        <v>27</v>
      </c>
      <c r="AG10" s="333"/>
      <c r="AH10" s="224"/>
      <c r="AI10" s="224"/>
      <c r="AJ10" s="224"/>
      <c r="AK10" s="333"/>
      <c r="AL10" s="478"/>
      <c r="AM10" s="224">
        <f>IF(ISNUMBER(Datos!R10),Datos!R10," - ")</f>
        <v>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v>
      </c>
      <c r="BD10" s="228">
        <f>IF(ISNUMBER(Datos!N10),Datos!N10," - ")</f>
        <v>2</v>
      </c>
      <c r="BE10" s="224" t="str">
        <f>IF(ISNUMBER(Datos!BW10),Datos!BW10," - ")</f>
        <v xml:space="preserve"> - </v>
      </c>
      <c r="BF10" s="224" t="str">
        <f>IF(ISNUMBER(Datos!BX10),Datos!BX10," - ")</f>
        <v xml:space="preserve"> - </v>
      </c>
      <c r="BG10" s="242">
        <f>IF(ISNUMBER(Datos!K10/Datos!J10),Datos!K10/Datos!J10," - ")</f>
        <v>0.8571428571428571</v>
      </c>
      <c r="BH10" s="224">
        <f>IF(ISNUMBER(((Datos!L10/Datos!K10)*11)/factor_trimestre),((Datos!L10/Datos!K10)*11)/factor_trimestre," - ")</f>
        <v>13.5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170.04475200945558</v>
      </c>
      <c r="CF10" s="228">
        <f ca="1">AVERAGEIFS($AB:$AB,$BW:$BW,BW10,$BX:$BX,BX10)</f>
        <v>170.04475200945558</v>
      </c>
      <c r="CG10" s="1191">
        <v>0.7</v>
      </c>
      <c r="CH10" s="1191">
        <f ca="1">AVERAGEIF($BW:$BW,BW10,$AC:$AC)</f>
        <v>12</v>
      </c>
      <c r="CI10" s="228">
        <f ca="1">AVERAGEIFS($AC:$AC,$BW:$BW,BW10,$BX:$BX,BX10)</f>
        <v>12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303.33333333333331</v>
      </c>
      <c r="CR10" s="228">
        <f ca="1">AVERAGEIFS($AF:$AF,$BW:$BW,BW10,$BX:$BX,BX10)</f>
        <v>303.33333333333331</v>
      </c>
      <c r="CS10" s="1191">
        <v>1.3</v>
      </c>
      <c r="CT10" s="1191">
        <v>1.5</v>
      </c>
      <c r="CU10" s="1191">
        <f ca="1">AVERAGEIF($BW:$BW,$BW10,$AH:$AH)</f>
        <v>12</v>
      </c>
      <c r="CV10" s="228">
        <f ca="1">AVERAGEIFS($AH:$AH,$BW:$BW,$BW10,$BX:$BX,$BX10)</f>
        <v>12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546.9</v>
      </c>
      <c r="DH10" s="228">
        <f ca="1">AVERAGEIFS($AM:$AM,$BW:$BW,$BW10,$BX:$BX,$BX10)</f>
        <v>546.9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11.065167711537288</v>
      </c>
      <c r="ER10" s="228">
        <f ca="1">AVERAGEIFS($BH:$BH,$BW:$BW,$BW10,$BX:$BX,$BX10)</f>
        <v>11.065167711537288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170.04475200945558</v>
      </c>
      <c r="CF11" s="228">
        <f ca="1">AVERAGEIFS($AB:$AB,$BW:$BW,BW11,$BX:$BX,BX11)</f>
        <v>170.04475200945558</v>
      </c>
      <c r="CG11" s="1191">
        <v>0.7</v>
      </c>
      <c r="CH11" s="1191">
        <f ca="1">AVERAGEIF($BW:$BW,BW11,$AC:$AC)</f>
        <v>12</v>
      </c>
      <c r="CI11" s="228">
        <f ca="1">AVERAGEIFS($AC:$AC,$BW:$BW,BW11,$BX:$BX,BX11)</f>
        <v>12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303.33333333333331</v>
      </c>
      <c r="CR11" s="228">
        <f ca="1">AVERAGEIFS($AF:$AF,$BW:$BW,BW11,$BX:$BX,BX11)</f>
        <v>303.33333333333331</v>
      </c>
      <c r="CS11" s="1191">
        <v>1.3</v>
      </c>
      <c r="CT11" s="1191">
        <v>1.5</v>
      </c>
      <c r="CU11" s="1191">
        <f ca="1">AVERAGEIF($BW:$BW,$BW11,$AH:$AH)</f>
        <v>12</v>
      </c>
      <c r="CV11" s="228">
        <f ca="1">AVERAGEIFS($AH:$AH,$BW:$BW,$BW11,$BX:$BX,$BX11)</f>
        <v>12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546.9</v>
      </c>
      <c r="DH11" s="228">
        <f ca="1">AVERAGEIFS($AM:$AM,$BW:$BW,$BW11,$BX:$BX,$BX11)</f>
        <v>546.9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11.065167711537288</v>
      </c>
      <c r="ER11" s="228">
        <f ca="1">AVERAGEIFS($BH:$BH,$BW:$BW,$BW11,$BX:$BX,$BX11)</f>
        <v>11.065167711537288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v>
      </c>
      <c r="O12" s="333"/>
      <c r="P12" s="333"/>
      <c r="Q12" s="225">
        <f>IF(ISNUMBER(Datos!P12),Datos!P12,0)</f>
        <v>66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28</v>
      </c>
      <c r="AI12" s="224" t="str">
        <f>IF(ISNUMBER(Datos!CD12),Datos!CD12,"-")</f>
        <v>-</v>
      </c>
      <c r="AJ12" s="224" t="str">
        <f>IF(ISNUMBER(Datos!EN12),Datos!EN12," - ")</f>
        <v xml:space="preserve"> - </v>
      </c>
      <c r="AK12" s="333"/>
      <c r="AL12" s="478"/>
      <c r="AM12" s="224">
        <f>IF(ISNUMBER(Datos!R12),Datos!R12," - ")</f>
        <v>1732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46</v>
      </c>
      <c r="BD12" s="228">
        <f>IF(ISNUMBER(Datos!N12),Datos!N12," - ")</f>
        <v>78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0.97282608695652173</v>
      </c>
      <c r="BH12" s="224">
        <f>IF(ISNUMBER(((IF(J_V="SI",Datos!L12/Datos!K12,(Datos!L12+Datos!AB12)/(Datos!K12+Datos!AA12)))*11)/factor_trimestre),((IF(J_V="SI",Datos!L12/Datos!K12,(Datos!L12+Datos!AB12)/(Datos!K12+Datos!AA12)))*11)/factor_trimestre," - ")</f>
        <v>30.636871508379887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1.6431924882629109E-2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170.04475200945558</v>
      </c>
      <c r="CF12" s="228">
        <f ca="1">AVERAGEIFS($AB:$AB,$BW:$BW,BW12,$BX:$BX,BX12)</f>
        <v>170.04475200945558</v>
      </c>
      <c r="CG12" s="1191">
        <v>0.7</v>
      </c>
      <c r="CH12" s="1191">
        <f ca="1">AVERAGEIF($BW:$BW,BW12,$AC:$AC)</f>
        <v>12</v>
      </c>
      <c r="CI12" s="228">
        <f ca="1">AVERAGEIFS($AC:$AC,$BW:$BW,BW12,$BX:$BX,BX12)</f>
        <v>12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303.33333333333331</v>
      </c>
      <c r="CR12" s="228">
        <f ca="1">AVERAGEIFS($AF:$AF,$BW:$BW,BW12,$BX:$BX,BX12)</f>
        <v>303.33333333333331</v>
      </c>
      <c r="CS12" s="1191">
        <v>1.3</v>
      </c>
      <c r="CT12" s="1191">
        <v>1.5</v>
      </c>
      <c r="CU12" s="1191">
        <f ca="1">AVERAGEIF($BW:$BW,$BW12,$AH:$AH)</f>
        <v>12</v>
      </c>
      <c r="CV12" s="228">
        <f ca="1">AVERAGEIFS($AH:$AH,$BW:$BW,$BW12,$BX:$BX,$BX12)</f>
        <v>12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546.9</v>
      </c>
      <c r="DH12" s="228">
        <f ca="1">AVERAGEIFS($AM:$AM,$BW:$BW,$BW12,$BX:$BX,$BX12)</f>
        <v>546.9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11.065167711537288</v>
      </c>
      <c r="ER12" s="228">
        <f ca="1">AVERAGEIFS($BH:$BH,$BW:$BW,$BW12,$BX:$BX,$BX12)</f>
        <v>11.065167711537288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26</v>
      </c>
      <c r="G13" s="895">
        <f t="shared" si="1"/>
        <v>26</v>
      </c>
      <c r="H13" s="896">
        <f t="shared" si="1"/>
        <v>0</v>
      </c>
      <c r="I13" s="895">
        <f t="shared" si="1"/>
        <v>0</v>
      </c>
      <c r="J13" s="864">
        <f t="shared" si="1"/>
        <v>0</v>
      </c>
      <c r="K13" s="864">
        <f t="shared" si="1"/>
        <v>0</v>
      </c>
      <c r="L13" s="896">
        <f t="shared" si="1"/>
        <v>0</v>
      </c>
      <c r="M13" s="896">
        <f t="shared" si="1"/>
        <v>0</v>
      </c>
      <c r="N13" s="896">
        <f t="shared" si="1"/>
        <v>10</v>
      </c>
      <c r="O13" s="897">
        <f t="shared" si="1"/>
        <v>0</v>
      </c>
      <c r="P13" s="897">
        <f t="shared" si="1"/>
        <v>0</v>
      </c>
      <c r="Q13" s="896">
        <f t="shared" si="1"/>
        <v>66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6</v>
      </c>
      <c r="AC13" s="896">
        <f t="shared" si="2"/>
        <v>38</v>
      </c>
      <c r="AD13" s="896">
        <f t="shared" si="2"/>
        <v>0</v>
      </c>
      <c r="AE13" s="896">
        <f t="shared" si="2"/>
        <v>0</v>
      </c>
      <c r="AF13" s="896">
        <f t="shared" si="2"/>
        <v>27</v>
      </c>
      <c r="AG13" s="896">
        <f t="shared" si="2"/>
        <v>0</v>
      </c>
      <c r="AH13" s="896">
        <f t="shared" si="2"/>
        <v>28</v>
      </c>
      <c r="AI13" s="896">
        <f t="shared" si="2"/>
        <v>0</v>
      </c>
      <c r="AJ13" s="896">
        <f t="shared" si="2"/>
        <v>0</v>
      </c>
      <c r="AK13" s="896">
        <f t="shared" si="2"/>
        <v>0</v>
      </c>
      <c r="AL13" s="896">
        <f t="shared" si="2"/>
        <v>0</v>
      </c>
      <c r="AM13" s="896">
        <f t="shared" si="2"/>
        <v>1734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49</v>
      </c>
      <c r="BD13" s="896">
        <f t="shared" si="2"/>
        <v>80</v>
      </c>
      <c r="BE13" s="896">
        <f t="shared" si="2"/>
        <v>0</v>
      </c>
      <c r="BF13" s="896">
        <f t="shared" si="2"/>
        <v>0</v>
      </c>
      <c r="BG13" s="896">
        <f>IF(ISNUMBER(Datos!K13/Datos!J13),Datos!K13/Datos!J13," - ")</f>
        <v>0.86740331491712708</v>
      </c>
      <c r="BH13" s="900">
        <f>IF(ISNUMBER(((Datos!L13/Datos!K13)*11)/factor_trimestre),((Datos!L13/Datos!K13)*11)/factor_trimestre," - ")</f>
        <v>34.910828025477713</v>
      </c>
      <c r="BI13" s="896">
        <f>IF(ISNUMBER('Resol  Asuntos'!D13/NºAsuntos!G13),'Resol  Asuntos'!D13/NºAsuntos!G13," - ")</f>
        <v>0.26486486486486488</v>
      </c>
      <c r="BJ13" s="896" t="str">
        <f>IF(ISNUMBER(Datos!CI13/Datos!CJ13),Datos!CI13/Datos!CJ13," - ")</f>
        <v xml:space="preserve"> - </v>
      </c>
      <c r="BK13" s="896">
        <f>SUBTOTAL(9,BK8:BK12)</f>
        <v>0</v>
      </c>
      <c r="BL13" s="896">
        <f>IF(ISNUMBER((I13-AB13+L13)/(F13)),(I13-AB13+L13)/(F13)," - ")</f>
        <v>-0.23076923076923078</v>
      </c>
      <c r="BM13" s="901">
        <f>SUBTOTAL(9,BM9:BM12)</f>
        <v>1.6431924882629109E-2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170.04475200945558</v>
      </c>
      <c r="CF15" s="228">
        <f ca="1">AVERAGEIFS($AB:$AB,$BW:$BW,BW15,$BX:$BX,BX15)</f>
        <v>170.04475200945558</v>
      </c>
      <c r="CG15" s="1191">
        <v>0.7</v>
      </c>
      <c r="CH15" s="1191">
        <f ca="1">AVERAGEIF($BW:$BW,BW15,$AC:$AC)</f>
        <v>12</v>
      </c>
      <c r="CI15" s="228">
        <f ca="1">AVERAGEIFS($AC:$AC,$BW:$BW,BW15,$BX:$BX,BX15)</f>
        <v>12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303.33333333333331</v>
      </c>
      <c r="CR15" s="228">
        <f ca="1">AVERAGEIFS($AF:$AF,$BW:$BW,BW15,$BX:$BX,BX15)</f>
        <v>303.33333333333331</v>
      </c>
      <c r="CS15" s="1191">
        <v>1.3</v>
      </c>
      <c r="CT15" s="1191">
        <v>1.5</v>
      </c>
      <c r="CU15" s="1191">
        <f ca="1">AVERAGEIF($BW:$BW,$BW15,$AH:$AH)</f>
        <v>12</v>
      </c>
      <c r="CV15" s="228">
        <f ca="1">AVERAGEIFS($AH:$AH,$BW:$BW,$BW15,$BX:$BX,$BX15)</f>
        <v>12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546.9</v>
      </c>
      <c r="DH15" s="228">
        <f ca="1">AVERAGEIFS($AM:$AM,$BW:$BW,$BW15,$BX:$BX,$BX15)</f>
        <v>546.9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11.065167711537288</v>
      </c>
      <c r="ER15" s="228">
        <f ca="1">AVERAGEIFS($BH:$BH,$BW:$BW,$BW15,$BX:$BX,$BX15)</f>
        <v>11.065167711537288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170.04475200945558</v>
      </c>
      <c r="CF16" s="228">
        <f ca="1">AVERAGEIFS($AB:$AB,$BW:$BW,BW16,$BX:$BX,BX16)</f>
        <v>170.04475200945558</v>
      </c>
      <c r="CG16" s="1191">
        <v>0.7</v>
      </c>
      <c r="CH16" s="1191">
        <f ca="1">AVERAGEIF($BW:$BW,BW16,$AC:$AC)</f>
        <v>12</v>
      </c>
      <c r="CI16" s="228">
        <f ca="1">AVERAGEIFS($AC:$AC,$BW:$BW,BW16,$BX:$BX,BX16)</f>
        <v>12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303.33333333333331</v>
      </c>
      <c r="CR16" s="228">
        <f ca="1">AVERAGEIFS($AF:$AF,$BW:$BW,BW16,$BX:$BX,BX16)</f>
        <v>303.33333333333331</v>
      </c>
      <c r="CS16" s="1191">
        <v>1.3</v>
      </c>
      <c r="CT16" s="1191">
        <v>1.5</v>
      </c>
      <c r="CU16" s="1191">
        <f ca="1">AVERAGEIF($BW:$BW,$BW16,$AH:$AH)</f>
        <v>12</v>
      </c>
      <c r="CV16" s="228">
        <f ca="1">AVERAGEIFS($AH:$AH,$BW:$BW,$BW16,$BX:$BX,$BX16)</f>
        <v>12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546.9</v>
      </c>
      <c r="DH16" s="228">
        <f ca="1">AVERAGEIFS($AM:$AM,$BW:$BW,$BW16,$BX:$BX,$BX16)</f>
        <v>546.9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11.065167711537288</v>
      </c>
      <c r="ER16" s="228">
        <f ca="1">AVERAGEIFS($BH:$BH,$BW:$BW,$BW16,$BX:$BX,$BX16)</f>
        <v>11.065167711537288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687</v>
      </c>
      <c r="G17" s="596">
        <f>IF(ISNUMBER(IF(D_I="SI",Datos!I17,Datos!I17+Datos!AC17)),IF(D_I="SI",Datos!I17,Datos!I17+Datos!AC17)," - ")</f>
        <v>681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438</v>
      </c>
      <c r="AC17" s="224">
        <f>IF(ISNUMBER(Datos!Q17),Datos!Q17," - ")</f>
        <v>2</v>
      </c>
      <c r="AD17" s="224"/>
      <c r="AE17" s="224"/>
      <c r="AF17" s="224">
        <f>IF(ISNUMBER(IF(D_I="SI",Datos!L17,Datos!L17+Datos!AF17)),IF(D_I="SI",Datos!L17,Datos!L17+Datos!AF17)," - ")</f>
        <v>808</v>
      </c>
      <c r="AG17" s="333"/>
      <c r="AH17" s="224"/>
      <c r="AI17" s="224"/>
      <c r="AJ17" s="224"/>
      <c r="AK17" s="333"/>
      <c r="AL17" s="478"/>
      <c r="AM17" s="224">
        <f>IF(ISNUMBER(Datos!R17),Datos!R17," - ")</f>
        <v>88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31</v>
      </c>
      <c r="BD17" s="228">
        <f>IF(ISNUMBER(Datos!N17),Datos!N17," - ")</f>
        <v>328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0.78354203935599287</v>
      </c>
      <c r="BH17" s="224">
        <f>IF(ISNUMBER(((IF(D_I="SI",Datos!L17/Datos!K17,(Datos!L17+Datos!AF17)/(Datos!K17+Datos!AE17)))*11)/factor_trimestre),((IF(D_I="SI",Datos!L17/Datos!K17,(Datos!L17+Datos!AF17)/(Datos!K17+Datos!AE17)))*11)/factor_trimestre," - ")</f>
        <v>5.5342465753424657</v>
      </c>
      <c r="BI17" s="242">
        <f>IF(ISNUMBER('Resol  Asuntos'!D17/NºAsuntos!G17),'Resol  Asuntos'!D17/NºAsuntos!G17," - ")</f>
        <v>7.0776255707762553E-2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170.04475200945558</v>
      </c>
      <c r="CF17" s="228">
        <f ca="1">AVERAGEIFS($AB:$AB,$BW:$BW,BW17,$BX:$BX,BX17)</f>
        <v>170.04475200945558</v>
      </c>
      <c r="CG17" s="1191">
        <v>0.7</v>
      </c>
      <c r="CH17" s="1191">
        <f ca="1">AVERAGEIF($BW:$BW,BW17,$AC:$AC)</f>
        <v>12</v>
      </c>
      <c r="CI17" s="228">
        <f ca="1">AVERAGEIFS($AC:$AC,$BW:$BW,BW17,$BX:$BX,BX17)</f>
        <v>12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303.33333333333331</v>
      </c>
      <c r="CR17" s="228">
        <f ca="1">AVERAGEIFS($AF:$AF,$BW:$BW,BW17,$BX:$BX,BX17)</f>
        <v>303.33333333333331</v>
      </c>
      <c r="CS17" s="1191">
        <v>1.3</v>
      </c>
      <c r="CT17" s="1191">
        <v>1.5</v>
      </c>
      <c r="CU17" s="1191">
        <f ca="1">AVERAGEIF($BW:$BW,$BW17,$AH:$AH)</f>
        <v>12</v>
      </c>
      <c r="CV17" s="228">
        <f ca="1">AVERAGEIFS($AH:$AH,$BW:$BW,$BW17,$BX:$BX,$BX17)</f>
        <v>12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546.9</v>
      </c>
      <c r="DH17" s="228">
        <f ca="1">AVERAGEIFS($AM:$AM,$BW:$BW,$BW17,$BX:$BX,$BX17)</f>
        <v>546.9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11.065167711537288</v>
      </c>
      <c r="ER17" s="228">
        <f ca="1">AVERAGEIFS($BH:$BH,$BW:$BW,$BW17,$BX:$BX,$BX17)</f>
        <v>11.065167711537288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42</v>
      </c>
      <c r="AC18" s="224">
        <f>IF(ISNUMBER(Datos!Q18),Datos!Q18," - ")</f>
        <v>0</v>
      </c>
      <c r="AD18" s="224"/>
      <c r="AE18" s="224"/>
      <c r="AF18" s="224">
        <f>IF(ISNUMBER(Datos!L18),Datos!L18,"-")</f>
        <v>75</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10</v>
      </c>
      <c r="BD18" s="228">
        <f>IF(ISNUMBER(Datos!N18),Datos!N18," - ")</f>
        <v>29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0.75</v>
      </c>
      <c r="BH18" s="224">
        <f>IF(ISNUMBER(((IF(D_I="SI",Datos!L18/Datos!K18,(Datos!L18+Datos!AF18)/(Datos!K18+Datos!AE18)))*11)/factor_trimestre),((IF(D_I="SI",Datos!L18/Datos!K18,(Datos!L18+Datos!AF18)/(Datos!K18+Datos!AE18)))*11)/factor_trimestre," - ")</f>
        <v>5.3571428571428577</v>
      </c>
      <c r="BI18" s="242">
        <f>IF(ISNUMBER('Resol  Asuntos'!D18/NºAsuntos!G18),'Resol  Asuntos'!D18/NºAsuntos!G18," - ")</f>
        <v>0.23809523809523808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170.04475200945558</v>
      </c>
      <c r="CF18" s="228">
        <f ca="1">AVERAGEIFS($AB:$AB,$BW:$BW,BW18,$BX:$BX,BX18)</f>
        <v>170.04475200945558</v>
      </c>
      <c r="CG18" s="1191">
        <v>0.7</v>
      </c>
      <c r="CH18" s="1191">
        <f ca="1">AVERAGEIF($BW:$BW,BW18,$AC:$AC)</f>
        <v>12</v>
      </c>
      <c r="CI18" s="228">
        <f ca="1">AVERAGEIFS($AC:$AC,$BW:$BW,BW18,$BX:$BX,BX18)</f>
        <v>12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303.33333333333331</v>
      </c>
      <c r="CR18" s="228">
        <f ca="1">AVERAGEIFS($AF:$AF,$BW:$BW,BW18,$BX:$BX,BX18)</f>
        <v>303.33333333333331</v>
      </c>
      <c r="CS18" s="1191">
        <v>1.3</v>
      </c>
      <c r="CT18" s="1191">
        <v>1.5</v>
      </c>
      <c r="CU18" s="1191">
        <f ca="1">AVERAGEIF($BW:$BW,$BW18,$AH:$AH)</f>
        <v>12</v>
      </c>
      <c r="CV18" s="228">
        <f ca="1">AVERAGEIFS($AH:$AH,$BW:$BW,$BW18,$BX:$BX,$BX18)</f>
        <v>12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546.9</v>
      </c>
      <c r="DH18" s="228">
        <f ca="1">AVERAGEIFS($AM:$AM,$BW:$BW,$BW18,$BX:$BX,$BX18)</f>
        <v>546.9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11.065167711537288</v>
      </c>
      <c r="ER18" s="228">
        <f ca="1">AVERAGEIFS($BH:$BH,$BW:$BW,$BW18,$BX:$BX,$BX18)</f>
        <v>11.065167711537288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687</v>
      </c>
      <c r="G19" s="895">
        <f>SUBTOTAL(9,G15:G18)</f>
        <v>741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480</v>
      </c>
      <c r="AC19" s="896">
        <f t="shared" si="5"/>
        <v>2</v>
      </c>
      <c r="AD19" s="896">
        <f t="shared" si="5"/>
        <v>0</v>
      </c>
      <c r="AE19" s="896">
        <f t="shared" si="5"/>
        <v>0</v>
      </c>
      <c r="AF19" s="896">
        <f t="shared" si="5"/>
        <v>883</v>
      </c>
      <c r="AG19" s="896">
        <f t="shared" si="5"/>
        <v>0</v>
      </c>
      <c r="AH19" s="896">
        <f t="shared" si="5"/>
        <v>0</v>
      </c>
      <c r="AI19" s="896">
        <f t="shared" si="5"/>
        <v>0</v>
      </c>
      <c r="AJ19" s="896">
        <f t="shared" si="5"/>
        <v>0</v>
      </c>
      <c r="AK19" s="896">
        <f t="shared" si="5"/>
        <v>0</v>
      </c>
      <c r="AL19" s="896">
        <f t="shared" si="5"/>
        <v>0</v>
      </c>
      <c r="AM19" s="896">
        <f t="shared" si="5"/>
        <v>89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41</v>
      </c>
      <c r="BD19" s="896">
        <f t="shared" si="5"/>
        <v>357</v>
      </c>
      <c r="BE19" s="896">
        <f t="shared" si="5"/>
        <v>0</v>
      </c>
      <c r="BF19" s="896">
        <f t="shared" si="5"/>
        <v>0</v>
      </c>
      <c r="BG19" s="896">
        <f>IF(ISNUMBER(Datos!K19/Datos!J19),Datos!K19/Datos!J19," - ")</f>
        <v>0.78048780487804881</v>
      </c>
      <c r="BH19" s="900">
        <f>IF(ISNUMBER(((Datos!L19/Datos!K19)*11)/factor_trimestre),((Datos!L19/Datos!K19)*11)/factor_trimestre," - ")</f>
        <v>5.5187499999999998</v>
      </c>
      <c r="BI19" s="896">
        <f>SUBTOTAL(9,BI15:BI18)</f>
        <v>0.30887149380300061</v>
      </c>
      <c r="BJ19" s="896">
        <f>SUBTOTAL(9,BJ15:BJ18)</f>
        <v>0</v>
      </c>
      <c r="BK19" s="896">
        <f>SUBTOTAL(9,BK15:BK18)</f>
        <v>0</v>
      </c>
      <c r="BL19" s="896">
        <f>IF(ISNUMBER((I19-AB19+L19)/(F19)),(I19-AB19+L19)/(F19)," - ")</f>
        <v>-0.69868995633187769</v>
      </c>
      <c r="BM19" s="902">
        <f>IF(ISNUMBER((Datos!P19-Datos!Q19)/(Datos!R19-Datos!P19+Datos!Q19)),(Datos!P19-Datos!Q19)/(Datos!R19-Datos!P19+Datos!Q19)," - ")</f>
        <v>0</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713</v>
      </c>
      <c r="G20" s="817">
        <f t="shared" si="7"/>
        <v>767</v>
      </c>
      <c r="H20" s="819">
        <f t="shared" si="7"/>
        <v>0</v>
      </c>
      <c r="I20" s="817">
        <f t="shared" si="7"/>
        <v>0</v>
      </c>
      <c r="J20" s="819">
        <f t="shared" si="7"/>
        <v>0</v>
      </c>
      <c r="K20" s="819">
        <f t="shared" si="7"/>
        <v>0</v>
      </c>
      <c r="L20" s="878">
        <f t="shared" si="7"/>
        <v>0</v>
      </c>
      <c r="M20" s="878">
        <f t="shared" si="7"/>
        <v>0</v>
      </c>
      <c r="N20" s="878">
        <f t="shared" si="7"/>
        <v>10</v>
      </c>
      <c r="O20" s="878">
        <f t="shared" si="7"/>
        <v>0</v>
      </c>
      <c r="P20" s="878">
        <f t="shared" si="7"/>
        <v>0</v>
      </c>
      <c r="Q20" s="819">
        <f t="shared" si="7"/>
        <v>68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486</v>
      </c>
      <c r="AC20" s="818">
        <f t="shared" si="8"/>
        <v>40</v>
      </c>
      <c r="AD20" s="818">
        <f t="shared" si="8"/>
        <v>0</v>
      </c>
      <c r="AE20" s="818">
        <f t="shared" si="8"/>
        <v>0</v>
      </c>
      <c r="AF20" s="825">
        <f t="shared" si="8"/>
        <v>910</v>
      </c>
      <c r="AG20" s="825">
        <f t="shared" si="8"/>
        <v>0</v>
      </c>
      <c r="AH20" s="825">
        <f t="shared" si="8"/>
        <v>28</v>
      </c>
      <c r="AI20" s="825">
        <f t="shared" si="8"/>
        <v>0</v>
      </c>
      <c r="AJ20" s="818">
        <f t="shared" si="8"/>
        <v>0</v>
      </c>
      <c r="AK20" s="825">
        <f t="shared" si="8"/>
        <v>0</v>
      </c>
      <c r="AL20" s="825">
        <f t="shared" si="8"/>
        <v>0</v>
      </c>
      <c r="AM20" s="825">
        <f t="shared" si="8"/>
        <v>1823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90</v>
      </c>
      <c r="BD20" s="817">
        <f t="shared" si="8"/>
        <v>437</v>
      </c>
      <c r="BE20" s="817">
        <f t="shared" si="8"/>
        <v>0</v>
      </c>
      <c r="BF20" s="827">
        <f t="shared" si="8"/>
        <v>0</v>
      </c>
      <c r="BG20" s="912">
        <f>IF(ISNUMBER(Datos!K20/Datos!J20),Datos!K20/Datos!J20," - ")</f>
        <v>0.80025125628140703</v>
      </c>
      <c r="BH20" s="912">
        <f>IF(ISNUMBER(((Datos!L20/Datos!K20)*11)/factor_trimestre),((Datos!L20/Datos!K20)*11)/factor_trimestre," - ")</f>
        <v>12.762951334379906</v>
      </c>
      <c r="BI20" s="810">
        <f>IF(ISNUMBER(Datos!J20/Datos!I20),Datos!J20/Datos!I20," - ")</f>
        <v>0.31388012618296529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-0.68162692847124828</v>
      </c>
      <c r="BM20" s="886">
        <f>IF(ISNUMBER((Datos!P20-Datos!Q20+R20)/(Datos!R20-Datos!P20+Datos!Q20-R20)),(Datos!P20-Datos!Q20+R20)/(Datos!R20-Datos!P20+Datos!Q20-R20)," - ")</f>
        <v>1.5598885793871866E-2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306.8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381.62852793434263</v>
      </c>
      <c r="G22" s="551">
        <f>IF(ISNUMBER(STDEV(G8:G19)),STDEV(G8:G19),"-")</f>
        <v>369.85226780432214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242.44752009455573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19.328735085359313</v>
      </c>
      <c r="BD22" s="550"/>
      <c r="BE22" s="550">
        <f>IF(ISNUMBER(STDEV(BE8:BE19)),STDEV(BE8:BE19),"-")</f>
        <v>0</v>
      </c>
      <c r="BF22" s="555">
        <f>IF(ISNUMBER(STDEV(BF8:BF19)),STDEV(BF8:BF19),"-")</f>
        <v>0</v>
      </c>
      <c r="BG22" s="772">
        <f>IF(ISNUMBER(STDEV(BG8:BG19)),STDEV(BG8:BG19),"-")</f>
        <v>8.1707386040121469E-2</v>
      </c>
      <c r="BH22" s="773">
        <f>IF(ISNUMBER(STDEV(BH8:BH19)),STDEV(BH8:BH19),"-")</f>
        <v>13.496054526187347</v>
      </c>
      <c r="BI22" s="248">
        <f>IF(ISNUMBER(STDEV(BI8:BI19)),STDEV(BI8:BI19),"-")</f>
        <v>0.10409044430815986</v>
      </c>
      <c r="BJ22" s="986" t="str">
        <f>IF(ISNUMBER(BL22/BM22),BL22/BM22," - ")</f>
        <v xml:space="preserve"> - </v>
      </c>
      <c r="BK22" s="574"/>
      <c r="BL22" s="558">
        <f>IF(ISNUMBER(STDEV(BL8:BL19)),STDEV(BL8:BL19),"-")</f>
        <v>0.33086991810307725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RpLJJQcGx1BSmI2vVNKCP5m6SW4kUjNNcK6K0I4+eKi9LS3oBiFwHOdwRjE+lnOf2Oc1J37owWnoQKaCbdmapg==" saltValue="yz7QIqVZev+zSg629zFgz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REGION DE MURCIA</v>
      </c>
    </row>
    <row r="2" spans="1:146" ht="16.5" customHeight="1">
      <c r="C2" s="487" t="str">
        <f>Criterios!A10 &amp;"  "&amp;Criterios!B10 &amp; "  " &amp; IF(NOT(ISBLANK(Criterios!A11)),Criterios!A11 &amp;"  "&amp;Criterios!B11,"")</f>
        <v>Provincias  MURCIA  Resumenes por Partidos Judiciales  YECLA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0.26486486486486488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0.1872877420440045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62dCADp6xadnQi4LlkEXqTqrjNsQY6+YwW2aviEQKXjG3WVvAw9mBMtdajNtYS8lkNqTIic0s+8svfXOUyOmhA==" saltValue="j+Wvf68Y2naJopBCidyp8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REGION DE MURCIA</v>
      </c>
      <c r="B4" s="787" t="str">
        <f>IF(Criterios!B10=0,"",Criterios!B10)</f>
        <v>MURCIA</v>
      </c>
      <c r="C4" s="787" t="str">
        <f>IF(Criterios!B11=0,"",Criterios!B11)</f>
        <v>YECLA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l4/UMUi2Lh27PME+ygurUKx+F5i2Joxy5sgZh+A3rJ455jacRCl6JjcHPvasyCN0QNA2gNE1esJZtoUDQrBr6A==" saltValue="9tz04U5U9UZWOncGRMyHk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2026-10-06T15:05:32Z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